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kr27\Documents\Funding Reporting\"/>
    </mc:Choice>
  </mc:AlternateContent>
  <xr:revisionPtr revIDLastSave="0" documentId="13_ncr:1_{A66D909A-BFB7-44EE-8141-BFFDF785554B}" xr6:coauthVersionLast="36" xr6:coauthVersionMax="36" xr10:uidLastSave="{00000000-0000-0000-0000-000000000000}"/>
  <bookViews>
    <workbookView xWindow="0" yWindow="0" windowWidth="19200" windowHeight="6096" tabRatio="599" xr2:uid="{00000000-000D-0000-FFFF-FFFF00000000}"/>
  </bookViews>
  <sheets>
    <sheet name="Reporting Main" sheetId="24" r:id="rId1"/>
    <sheet name="Revenue_detail" sheetId="35" r:id="rId2"/>
    <sheet name="Balance Sheet USD" sheetId="33" r:id="rId3"/>
    <sheet name="Result Report USD" sheetId="26" r:id="rId4"/>
    <sheet name="Historic 2008-2017" sheetId="28" r:id="rId5"/>
  </sheets>
  <externalReferences>
    <externalReference r:id="rId6"/>
    <externalReference r:id="rId7"/>
  </externalReferences>
  <definedNames>
    <definedName name="a">#REF!</definedName>
    <definedName name="cr">#REF!</definedName>
    <definedName name="_xlnm.Criteria">#REF!</definedName>
    <definedName name="DevScen">[1]BradyScenarios!$B$1:$M$1,[1]BradyScenarios!#REF!,[1]BradyScenarios!#REF!,[1]BradyScenarios!#REF!</definedName>
    <definedName name="_xlnm.Print_Area" localSheetId="4">'Historic 2008-2017'!$A$1:$I$33</definedName>
    <definedName name="_xlnm.Print_Area" localSheetId="0">'Reporting Main'!$A$1:$F$16</definedName>
    <definedName name="_xlnm.Print_Area" localSheetId="3">'Result Report USD'!$A$1:$M$48</definedName>
    <definedName name="_xlnm.Print_Area" localSheetId="1">Revenue_detail!$A$1:$D$88</definedName>
    <definedName name="q">[1]BradyScenarios!$B$1:$M$1,[1]BradyScenarios!#REF!,[1]BradyScenarios!#REF!,[1]BradyScenarios!#REF!</definedName>
    <definedName name="Scen4">#REF!</definedName>
    <definedName name="Scen5">#REF!</definedName>
    <definedName name="Scen6">#REF!</definedName>
    <definedName name="ScenName">[2]Assumptions!$B$43</definedName>
    <definedName name="Share_Options___All_Transactions">#REF!</definedName>
    <definedName name="standard">#REF!</definedName>
    <definedName name="xx">#REF!</definedName>
    <definedName name="zero">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5" i="35" l="1"/>
  <c r="K36" i="24"/>
  <c r="J36" i="24"/>
  <c r="I36" i="24"/>
  <c r="H36" i="24"/>
  <c r="G36" i="24"/>
  <c r="F36" i="24"/>
  <c r="E36" i="24"/>
  <c r="D36" i="24"/>
  <c r="C36" i="24"/>
  <c r="B36" i="24"/>
  <c r="G44" i="24"/>
  <c r="F44" i="24"/>
  <c r="E44" i="24"/>
  <c r="D44" i="24"/>
  <c r="C44" i="24"/>
  <c r="B44" i="24"/>
  <c r="H44" i="24" l="1"/>
  <c r="L36" i="24"/>
  <c r="E7" i="26"/>
  <c r="E11" i="26"/>
  <c r="E12" i="26"/>
  <c r="E15" i="26"/>
  <c r="E16" i="26"/>
  <c r="E17" i="26"/>
  <c r="E18" i="26"/>
  <c r="C21" i="33"/>
  <c r="B21" i="33"/>
  <c r="C17" i="33"/>
  <c r="B17" i="33"/>
  <c r="B9" i="33"/>
  <c r="B11" i="33" s="1"/>
  <c r="C11" i="33"/>
  <c r="B6" i="33"/>
  <c r="C6" i="33"/>
  <c r="C12" i="33" l="1"/>
  <c r="C22" i="33"/>
  <c r="H46" i="24" l="1"/>
  <c r="H45" i="24"/>
  <c r="H47" i="24"/>
  <c r="L37" i="24" l="1"/>
  <c r="M21" i="26"/>
  <c r="M18" i="26"/>
  <c r="M17" i="26"/>
  <c r="M16" i="26"/>
  <c r="M15" i="26"/>
  <c r="M12" i="26"/>
  <c r="M11" i="26"/>
  <c r="M7" i="26"/>
  <c r="C37" i="35"/>
  <c r="D37" i="35"/>
  <c r="C23" i="24"/>
  <c r="D16" i="35"/>
  <c r="C22" i="24" s="1"/>
  <c r="D41" i="35"/>
  <c r="C25" i="24" s="1"/>
  <c r="D69" i="35"/>
  <c r="D83" i="35"/>
  <c r="C27" i="24" s="1"/>
  <c r="D87" i="35"/>
  <c r="C28" i="24" s="1"/>
  <c r="C16" i="35"/>
  <c r="E21" i="26"/>
  <c r="E22" i="26" s="1"/>
  <c r="L22" i="26"/>
  <c r="K22" i="26"/>
  <c r="D22" i="26"/>
  <c r="C22" i="26"/>
  <c r="E39" i="26"/>
  <c r="E40" i="26"/>
  <c r="E41" i="26"/>
  <c r="E42" i="26"/>
  <c r="E43" i="26"/>
  <c r="E44" i="26"/>
  <c r="E38" i="26"/>
  <c r="E26" i="26"/>
  <c r="E27" i="26"/>
  <c r="E28" i="26"/>
  <c r="E29" i="26"/>
  <c r="E30" i="26"/>
  <c r="E31" i="26"/>
  <c r="E32" i="26"/>
  <c r="E34" i="26"/>
  <c r="E25" i="26"/>
  <c r="M39" i="26"/>
  <c r="M40" i="26"/>
  <c r="M41" i="26"/>
  <c r="M42" i="26"/>
  <c r="M43" i="26"/>
  <c r="M44" i="26"/>
  <c r="M38" i="26"/>
  <c r="M26" i="26"/>
  <c r="M27" i="26"/>
  <c r="M28" i="26"/>
  <c r="M29" i="26"/>
  <c r="M30" i="26"/>
  <c r="M31" i="26"/>
  <c r="M32" i="26"/>
  <c r="M34" i="26"/>
  <c r="M25" i="26"/>
  <c r="K35" i="26"/>
  <c r="J31" i="28"/>
  <c r="J33" i="28" s="1"/>
  <c r="J10" i="28"/>
  <c r="J16" i="28" s="1"/>
  <c r="B12" i="33"/>
  <c r="B22" i="33"/>
  <c r="C35" i="26"/>
  <c r="D35" i="26"/>
  <c r="F35" i="26"/>
  <c r="G35" i="26"/>
  <c r="H35" i="26"/>
  <c r="L35" i="26"/>
  <c r="C46" i="26"/>
  <c r="D46" i="26"/>
  <c r="F46" i="26"/>
  <c r="F48" i="26" s="1"/>
  <c r="G46" i="26"/>
  <c r="H46" i="26"/>
  <c r="K46" i="26"/>
  <c r="L46" i="26"/>
  <c r="G10" i="28"/>
  <c r="G16" i="28"/>
  <c r="G33" i="28"/>
  <c r="S19" i="35"/>
  <c r="U20" i="35"/>
  <c r="S20" i="35" s="1"/>
  <c r="S22" i="35"/>
  <c r="U23" i="35"/>
  <c r="S23" i="35" s="1"/>
  <c r="U24" i="35"/>
  <c r="S24" i="35" s="1"/>
  <c r="U25" i="35"/>
  <c r="S25" i="35" s="1"/>
  <c r="U26" i="35"/>
  <c r="S26" i="35"/>
  <c r="U27" i="35"/>
  <c r="S27" i="35" s="1"/>
  <c r="S28" i="35"/>
  <c r="U29" i="35"/>
  <c r="S29" i="35"/>
  <c r="U30" i="35"/>
  <c r="S30" i="35" s="1"/>
  <c r="U31" i="35"/>
  <c r="S31" i="35" s="1"/>
  <c r="S32" i="35"/>
  <c r="S33" i="35"/>
  <c r="S34" i="35"/>
  <c r="T45" i="35"/>
  <c r="S46" i="35"/>
  <c r="T46" i="35"/>
  <c r="S47" i="35"/>
  <c r="T47" i="35" s="1"/>
  <c r="S48" i="35"/>
  <c r="T48" i="35" s="1"/>
  <c r="S49" i="35"/>
  <c r="T49" i="35" s="1"/>
  <c r="S50" i="35"/>
  <c r="T50" i="35" s="1"/>
  <c r="T51" i="35"/>
  <c r="T52" i="35"/>
  <c r="T53" i="35"/>
  <c r="T54" i="35"/>
  <c r="T55" i="35"/>
  <c r="T56" i="35"/>
  <c r="T57" i="35"/>
  <c r="T59" i="35"/>
  <c r="T60" i="35"/>
  <c r="I10" i="28"/>
  <c r="I16" i="28" s="1"/>
  <c r="H10" i="28"/>
  <c r="F10" i="28"/>
  <c r="F16" i="28" s="1"/>
  <c r="E10" i="28"/>
  <c r="D10" i="28"/>
  <c r="D16" i="28" s="1"/>
  <c r="C10" i="28"/>
  <c r="C16" i="28" s="1"/>
  <c r="E16" i="28"/>
  <c r="E35" i="28" s="1"/>
  <c r="H16" i="28"/>
  <c r="I31" i="28"/>
  <c r="I33" i="28" s="1"/>
  <c r="H33" i="28"/>
  <c r="F33" i="28"/>
  <c r="D33" i="28"/>
  <c r="E33" i="28"/>
  <c r="C33" i="28"/>
  <c r="E10" i="24"/>
  <c r="C87" i="35"/>
  <c r="C41" i="35"/>
  <c r="G22" i="26"/>
  <c r="G48" i="26"/>
  <c r="C83" i="35"/>
  <c r="C69" i="35"/>
  <c r="D103" i="35"/>
  <c r="C103" i="35"/>
  <c r="F22" i="26"/>
  <c r="H22" i="26"/>
  <c r="H48" i="26" s="1"/>
  <c r="D10" i="24"/>
  <c r="C24" i="24" l="1"/>
  <c r="C29" i="24" s="1"/>
  <c r="C35" i="28"/>
  <c r="I35" i="28"/>
  <c r="D35" i="28"/>
  <c r="F35" i="28"/>
  <c r="C88" i="35"/>
  <c r="C26" i="24"/>
  <c r="M46" i="26"/>
  <c r="M22" i="26"/>
  <c r="M48" i="26" s="1"/>
  <c r="L48" i="26"/>
  <c r="S39" i="35"/>
  <c r="G35" i="28"/>
  <c r="C48" i="26"/>
  <c r="E35" i="26"/>
  <c r="I35" i="26" s="1"/>
  <c r="E46" i="26"/>
  <c r="I46" i="26" s="1"/>
  <c r="D48" i="26"/>
  <c r="M35" i="26"/>
  <c r="H35" i="28"/>
  <c r="S62" i="35"/>
  <c r="K48" i="26"/>
  <c r="D88" i="35"/>
  <c r="T62" i="35"/>
  <c r="I22" i="26"/>
  <c r="J35" i="28"/>
  <c r="E48" i="26" l="1"/>
</calcChain>
</file>

<file path=xl/sharedStrings.xml><?xml version="1.0" encoding="utf-8"?>
<sst xmlns="http://schemas.openxmlformats.org/spreadsheetml/2006/main" count="517" uniqueCount="297">
  <si>
    <t>Revenue</t>
  </si>
  <si>
    <t>Total</t>
  </si>
  <si>
    <t xml:space="preserve"> </t>
  </si>
  <si>
    <t>Actual</t>
  </si>
  <si>
    <t>Other equity</t>
  </si>
  <si>
    <t>Public duties payable</t>
  </si>
  <si>
    <t>Travel and accomodation</t>
  </si>
  <si>
    <t>Office expenses</t>
  </si>
  <si>
    <t>Implementation</t>
  </si>
  <si>
    <t>Outreach</t>
  </si>
  <si>
    <t>Communications</t>
  </si>
  <si>
    <t>Training</t>
  </si>
  <si>
    <t>Validation</t>
  </si>
  <si>
    <t>Government of Canada</t>
  </si>
  <si>
    <t>Investors</t>
  </si>
  <si>
    <t>Oil and Gas</t>
  </si>
  <si>
    <t>Mining and Minerals</t>
  </si>
  <si>
    <t>Centerra Gold Inc.</t>
  </si>
  <si>
    <t>Eramet</t>
  </si>
  <si>
    <t>Hudbay Minerals Inc.</t>
  </si>
  <si>
    <t>ICMM</t>
  </si>
  <si>
    <t>Oil Search PNG</t>
  </si>
  <si>
    <t>in %</t>
  </si>
  <si>
    <t>Supporting countries and IDA's</t>
  </si>
  <si>
    <t>Non-extractives</t>
  </si>
  <si>
    <t>Financial Income</t>
  </si>
  <si>
    <t>Total Revenues</t>
  </si>
  <si>
    <t>Costs</t>
  </si>
  <si>
    <t>Board meetings</t>
  </si>
  <si>
    <t>Chair's support</t>
  </si>
  <si>
    <t>Project consultants</t>
  </si>
  <si>
    <t>Salary</t>
  </si>
  <si>
    <t>Other staff expenses</t>
  </si>
  <si>
    <t>Conference</t>
  </si>
  <si>
    <t>Net result</t>
  </si>
  <si>
    <t>Costs by function</t>
  </si>
  <si>
    <t>Costs by type</t>
  </si>
  <si>
    <t>(incl. currency translation)</t>
  </si>
  <si>
    <t>closing rate NOK/USD</t>
  </si>
  <si>
    <t>Net financial revenue</t>
  </si>
  <si>
    <t>Expenditure</t>
  </si>
  <si>
    <t>Main figures</t>
  </si>
  <si>
    <r>
      <t>All figures in</t>
    </r>
    <r>
      <rPr>
        <sz val="16"/>
        <color indexed="10"/>
        <rFont val="Calibri"/>
        <family val="2"/>
      </rPr>
      <t xml:space="preserve"> USD thousands</t>
    </r>
  </si>
  <si>
    <t>Budget</t>
  </si>
  <si>
    <t>Variance</t>
  </si>
  <si>
    <t>Net interest income</t>
  </si>
  <si>
    <t>Stakeholder rel./Int. advocacy</t>
  </si>
  <si>
    <t>Management &amp; Admin</t>
  </si>
  <si>
    <t>Translation &amp; Interpretation</t>
  </si>
  <si>
    <t>Other expenses</t>
  </si>
  <si>
    <t>Total Expenditure</t>
  </si>
  <si>
    <t>Result Report</t>
  </si>
  <si>
    <t>Balance Sheet Report</t>
  </si>
  <si>
    <t>Office equipment, machinery, etc</t>
  </si>
  <si>
    <t>Total fixed assets</t>
  </si>
  <si>
    <t>ASSETS</t>
  </si>
  <si>
    <t>Total receivables</t>
  </si>
  <si>
    <t>Total current assets</t>
  </si>
  <si>
    <t>Total Assets</t>
  </si>
  <si>
    <t>Bank deposits, cash</t>
  </si>
  <si>
    <t>EQUITY AND LIABILITIES</t>
  </si>
  <si>
    <t>Total equity</t>
  </si>
  <si>
    <t>Total current liabilites</t>
  </si>
  <si>
    <t>Total Equity and Liabiliites</t>
  </si>
  <si>
    <t>This periods result</t>
  </si>
  <si>
    <t>Currency translation</t>
  </si>
  <si>
    <t>Other short term liabilities</t>
  </si>
  <si>
    <t>Equity end of period.</t>
  </si>
  <si>
    <t>Bank balance at end of period (including reserve)</t>
  </si>
  <si>
    <t>Name</t>
  </si>
  <si>
    <t xml:space="preserve">Amount paid </t>
  </si>
  <si>
    <t>Amount received in NOK</t>
  </si>
  <si>
    <t>Amount received in USD</t>
  </si>
  <si>
    <t>Governments, Civil Society &amp; International Dev. Agencies</t>
  </si>
  <si>
    <t>DKK 2 000 000</t>
  </si>
  <si>
    <t>CHF 200 000</t>
  </si>
  <si>
    <t>Institutional Investors</t>
  </si>
  <si>
    <t>Companies</t>
  </si>
  <si>
    <t>Oil &amp; Gas</t>
  </si>
  <si>
    <t>Mineral &amp; Mining</t>
  </si>
  <si>
    <t>Non-extractive companies</t>
  </si>
  <si>
    <t>Total revenue for specific projects</t>
  </si>
  <si>
    <t>Amount in Currency</t>
  </si>
  <si>
    <t>Base Titanium Ltd</t>
  </si>
  <si>
    <t>USD 20 000</t>
  </si>
  <si>
    <t>USD 60 000</t>
  </si>
  <si>
    <t>USD 40 000</t>
  </si>
  <si>
    <r>
      <t>All figures in</t>
    </r>
    <r>
      <rPr>
        <sz val="12"/>
        <color indexed="10"/>
        <rFont val="Calibri"/>
        <family val="2"/>
      </rPr>
      <t xml:space="preserve"> USD thousands</t>
    </r>
  </si>
  <si>
    <t>Total Costs by type</t>
  </si>
  <si>
    <t>Total Costs by function</t>
  </si>
  <si>
    <t>Accounts receivable</t>
  </si>
  <si>
    <t>Other receivables</t>
  </si>
  <si>
    <t>Accounts payable</t>
  </si>
  <si>
    <t>SEK 2 500 000</t>
  </si>
  <si>
    <t>Eni Spa</t>
  </si>
  <si>
    <t>Dundee Precious Metals</t>
  </si>
  <si>
    <t>Woodside Energy</t>
  </si>
  <si>
    <t>Reserve at end of period</t>
  </si>
  <si>
    <t>-</t>
  </si>
  <si>
    <t>EITI Reporting - Revenue 2010-2014</t>
  </si>
  <si>
    <t>Funding</t>
  </si>
  <si>
    <t>USD 50 000</t>
  </si>
  <si>
    <t>Arcelor Mittal</t>
  </si>
  <si>
    <t>Kinross Gold</t>
  </si>
  <si>
    <t>USD 15 000</t>
  </si>
  <si>
    <t>Advanced Metallurgical Group (AMG)</t>
  </si>
  <si>
    <t>in USD</t>
  </si>
  <si>
    <t>EUR 375 000</t>
  </si>
  <si>
    <t>USD 500 000</t>
  </si>
  <si>
    <t>Private sector</t>
  </si>
  <si>
    <t>EITI Financial Report 2016</t>
  </si>
  <si>
    <t>USD 10 000</t>
  </si>
  <si>
    <t>Philia</t>
  </si>
  <si>
    <t xml:space="preserve"> As per Q3</t>
  </si>
  <si>
    <t>Global conference</t>
  </si>
  <si>
    <t>Government of France</t>
  </si>
  <si>
    <t>Government of Germany</t>
  </si>
  <si>
    <t>Hess Corp.</t>
  </si>
  <si>
    <t>Staatsolie Surinam</t>
  </si>
  <si>
    <t>Government of Netherlands</t>
  </si>
  <si>
    <t xml:space="preserve"> USD 150 000</t>
  </si>
  <si>
    <t>Government of Sweden</t>
  </si>
  <si>
    <t xml:space="preserve">DFID - UK </t>
  </si>
  <si>
    <t>DFID - UK (Beneficial ownership)</t>
  </si>
  <si>
    <t>GBP 143 500</t>
  </si>
  <si>
    <t>European Commission</t>
  </si>
  <si>
    <t>Government of Belgium (Francophone training)</t>
  </si>
  <si>
    <t>World Bank (Mainstreaming) (Grant given)</t>
  </si>
  <si>
    <t>Government of Norway (tbc)</t>
  </si>
  <si>
    <t>EUR 183 000</t>
  </si>
  <si>
    <t>Government of Switzerland (SECO) tbc</t>
  </si>
  <si>
    <t>Government of Denmark (tbc)</t>
  </si>
  <si>
    <t>Government of Finland (tbc)</t>
  </si>
  <si>
    <t>CHF 250 000</t>
  </si>
  <si>
    <t>Government of Switzerland  SECO (Commodity Trading)</t>
  </si>
  <si>
    <t>Amount in USD</t>
  </si>
  <si>
    <t>EUR 190 000</t>
  </si>
  <si>
    <t>end 2017</t>
  </si>
  <si>
    <t>end 2018</t>
  </si>
  <si>
    <t>end 2019</t>
  </si>
  <si>
    <t>Term</t>
  </si>
  <si>
    <t>CAD 40 000</t>
  </si>
  <si>
    <t>Government of Canada (tbc)</t>
  </si>
  <si>
    <t>EUR 200 000</t>
  </si>
  <si>
    <t>EUR 250 000</t>
  </si>
  <si>
    <t>EBRD - uncertain figure for core funding..</t>
  </si>
  <si>
    <t>EUR 150 000</t>
  </si>
  <si>
    <t>Implementing countries</t>
  </si>
  <si>
    <t>Private funding 2016 used as forecast for 2017</t>
  </si>
  <si>
    <t>EITI REVENUE forecast 2017</t>
  </si>
  <si>
    <t>Forecast 2017 in USD</t>
  </si>
  <si>
    <t>US Government (tbc)</t>
  </si>
  <si>
    <t>GBP 48 000</t>
  </si>
  <si>
    <t>Kfw</t>
  </si>
  <si>
    <t>USD 15.000</t>
  </si>
  <si>
    <t>Sherrit Finance Ltd</t>
  </si>
  <si>
    <t>Lundin Petroleum</t>
  </si>
  <si>
    <t>USD 40.000</t>
  </si>
  <si>
    <t>Base Titanium</t>
  </si>
  <si>
    <t>CHF 187 500</t>
  </si>
  <si>
    <t>Q1 2017 in USD</t>
  </si>
  <si>
    <t>EITI REVENUE Q1 2017 - received</t>
  </si>
  <si>
    <t>EUR 281 251</t>
  </si>
  <si>
    <t>Timor Leste</t>
  </si>
  <si>
    <t>USD 25.000</t>
  </si>
  <si>
    <t>DFID - UK (Commodity Trading)</t>
  </si>
  <si>
    <t>World Bank (Validation + Mainstreaming)</t>
  </si>
  <si>
    <t>USD 70 000</t>
  </si>
  <si>
    <t>Inpex Corp.</t>
  </si>
  <si>
    <t>USD 60.000</t>
  </si>
  <si>
    <t>Trafigura</t>
  </si>
  <si>
    <t>Government of Australia</t>
  </si>
  <si>
    <t>AUS 350 000</t>
  </si>
  <si>
    <t>Galp Energia</t>
  </si>
  <si>
    <t>USD 10.000</t>
  </si>
  <si>
    <t>NOK 3 200 000</t>
  </si>
  <si>
    <t>GBP 245 000</t>
  </si>
  <si>
    <t>Q1 2017</t>
  </si>
  <si>
    <t>Centerra Gold</t>
  </si>
  <si>
    <t>Management &amp; Admin.</t>
  </si>
  <si>
    <t>Supporting countries and international development agencies</t>
  </si>
  <si>
    <t>Oil &amp; Gas companies</t>
  </si>
  <si>
    <t>Mineral and Mining companies</t>
  </si>
  <si>
    <t>Mineral and mining companies</t>
  </si>
  <si>
    <t>Expenditures by function</t>
  </si>
  <si>
    <t>Implementation   </t>
  </si>
  <si>
    <t>Outreach </t>
  </si>
  <si>
    <t>Board meetings     </t>
  </si>
  <si>
    <t>Chair    </t>
  </si>
  <si>
    <t>Training   </t>
  </si>
  <si>
    <t>Stakeholder relations/international advocacy   </t>
  </si>
  <si>
    <t>Office and administration   </t>
  </si>
  <si>
    <t>Validation   </t>
  </si>
  <si>
    <t>Expenditures by type</t>
  </si>
  <si>
    <t>Salaries/other staff costs     </t>
  </si>
  <si>
    <t>Office/other costs </t>
  </si>
  <si>
    <t>Project consultants </t>
  </si>
  <si>
    <t>average  exchange rate NOK/USD</t>
  </si>
  <si>
    <t>Expenditures</t>
  </si>
  <si>
    <t>in USD thousands</t>
  </si>
  <si>
    <t>Exchange rate</t>
  </si>
  <si>
    <t>Travel/ accommodation</t>
  </si>
  <si>
    <t>Translation/ interpretation</t>
  </si>
  <si>
    <t>Total revenue (includes project-specific funding)</t>
  </si>
  <si>
    <t>Equity 01.01.</t>
  </si>
  <si>
    <t>Sherritt Int Finance Ltd</t>
  </si>
  <si>
    <t>EITI Financial Report 2017</t>
  </si>
  <si>
    <t>Actual-2017</t>
  </si>
  <si>
    <r>
      <t>International development partners,</t>
    </r>
    <r>
      <rPr>
        <b/>
        <sz val="16"/>
        <color theme="1"/>
        <rFont val="Calibri"/>
        <family val="2"/>
        <scheme val="minor"/>
      </rPr>
      <t xml:space="preserve"> including</t>
    </r>
  </si>
  <si>
    <t>donors, NGO's and foundations</t>
  </si>
  <si>
    <t>vs 2017</t>
  </si>
  <si>
    <t>Year 2017</t>
  </si>
  <si>
    <t>International development partners, including</t>
  </si>
  <si>
    <t>NGO's and foundations</t>
  </si>
  <si>
    <t>International development partners including donors, NGO's and foundations</t>
  </si>
  <si>
    <t>AUD 350 000</t>
  </si>
  <si>
    <t>Government of Belgium (2017-2020)</t>
  </si>
  <si>
    <t>EUR 100 000</t>
  </si>
  <si>
    <t>Government of Denmark (2017-2018)</t>
  </si>
  <si>
    <t>DKK 1 000 000</t>
  </si>
  <si>
    <t>European Commission (2016-2018)</t>
  </si>
  <si>
    <t>Government of Finland (2017-2019)</t>
  </si>
  <si>
    <t>EUR 183 333</t>
  </si>
  <si>
    <t>Government of Germany (2017-2018)</t>
  </si>
  <si>
    <t>Government of the Netherlands (2017-2020)</t>
  </si>
  <si>
    <t>USD 250 000</t>
  </si>
  <si>
    <t>Government of Norway (2017-2019)</t>
  </si>
  <si>
    <t>Government of Switzerland (SECO - Commodity trading)</t>
  </si>
  <si>
    <t>Financial Institutions</t>
  </si>
  <si>
    <t>Førsta AP Fonden</t>
  </si>
  <si>
    <t>USD 9 950</t>
  </si>
  <si>
    <t>Nordea AB</t>
  </si>
  <si>
    <t>BP International</t>
  </si>
  <si>
    <t>Cairn</t>
  </si>
  <si>
    <t>Chevron</t>
  </si>
  <si>
    <t>Conoco Phillips</t>
  </si>
  <si>
    <t>Exxon Mobile</t>
  </si>
  <si>
    <t>Far Ltd</t>
  </si>
  <si>
    <t>Noble Energy</t>
  </si>
  <si>
    <t>Shell International</t>
  </si>
  <si>
    <t>Tullow</t>
  </si>
  <si>
    <t>Southern Peru Copper</t>
  </si>
  <si>
    <t>Vale</t>
  </si>
  <si>
    <t>Government of Côte d'Ivoire</t>
  </si>
  <si>
    <t>Government of Guinea</t>
  </si>
  <si>
    <t>Government of Mongolia</t>
  </si>
  <si>
    <t>Government of Papua New Guinea</t>
  </si>
  <si>
    <t>Government of Togo</t>
  </si>
  <si>
    <t>Actual-2018</t>
  </si>
  <si>
    <t>Budget 2018</t>
  </si>
  <si>
    <t>Sources of revenues 2018</t>
  </si>
  <si>
    <t>Year 2018</t>
  </si>
  <si>
    <t>EITI Financial Report 2018</t>
  </si>
  <si>
    <t>Government of Armenia</t>
  </si>
  <si>
    <t>Government of Burkina Faso</t>
  </si>
  <si>
    <t>Government of Democratic Republic of Congo (DRC)</t>
  </si>
  <si>
    <t>Government of Dominican Republic</t>
  </si>
  <si>
    <t>Government of Guyana</t>
  </si>
  <si>
    <t>Government of Iraq</t>
  </si>
  <si>
    <t>Government of Myanmar</t>
  </si>
  <si>
    <t>Government of Australia(2017-2019)</t>
  </si>
  <si>
    <t>Government of Denmark (BO Conference)</t>
  </si>
  <si>
    <t>EBRD (Beneficial Ownership)</t>
  </si>
  <si>
    <t>Government of Switzerland (SECO) (2017-2020)</t>
  </si>
  <si>
    <t>Government of the UK (DFID)</t>
  </si>
  <si>
    <t>Government of the UK (DFID) Project funding</t>
  </si>
  <si>
    <t>Government of the United States (USAID)</t>
  </si>
  <si>
    <t>CAD 140 000</t>
  </si>
  <si>
    <t>EUR 103 379</t>
  </si>
  <si>
    <t>EUR 300 000</t>
  </si>
  <si>
    <t>SEK 3 000 000</t>
  </si>
  <si>
    <t>CHF 62 500</t>
  </si>
  <si>
    <t>GBP 300 000</t>
  </si>
  <si>
    <t>GBP 360 000</t>
  </si>
  <si>
    <t>GBP 375 000</t>
  </si>
  <si>
    <t>USD 94 838</t>
  </si>
  <si>
    <t>Project-specific funding - 2018, included in the above figures</t>
  </si>
  <si>
    <t>KFW Bankengruppe</t>
  </si>
  <si>
    <t>Volkswagen AG</t>
  </si>
  <si>
    <t>USD 18 000</t>
  </si>
  <si>
    <t>GBP 374 000</t>
  </si>
  <si>
    <t>St.Barbara</t>
  </si>
  <si>
    <t>BP International - BO Conference</t>
  </si>
  <si>
    <t>Equinor</t>
  </si>
  <si>
    <t>USD 65 000</t>
  </si>
  <si>
    <t>Gunvor</t>
  </si>
  <si>
    <t>Kosmos Energy</t>
  </si>
  <si>
    <t>Kosmos Energy - BO Conference</t>
  </si>
  <si>
    <t>Woodside Energy - BO Conference</t>
  </si>
  <si>
    <t>DFID - UK (Benef. Own., Comm. Tr., Mainstreaming, SOE st.)</t>
  </si>
  <si>
    <t>Equinor - Beneficial ownership conference - Jakarta 2017</t>
  </si>
  <si>
    <t>USD 5 000</t>
  </si>
  <si>
    <t>Kosmos- Beneficial Ownership conference Dakar</t>
  </si>
  <si>
    <t>Woodside - Beneficial Ownership conference</t>
  </si>
  <si>
    <t>BP - Beneficial Ownership conference</t>
  </si>
  <si>
    <t>International Development Partners &amp; IFIs, including donors, NGOs and Foundations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</si>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</sst>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_-* #,##0.00\ [$€-1]_-;\-* #,##0.00\ [$€-1]_-;_-* &quot;-&quot;??\ [$€-1]_-"/>
    <numFmt numFmtId="167" formatCode="_-* #,##0_-;\-* #,##0_-;_-* &quot;-&quot;??_-;_-@_-"/>
    <numFmt numFmtId="168" formatCode="[&gt;=0.5]#,##0_);[Red][&lt;=-0.5]\(#,##0\);\-?"/>
    <numFmt numFmtId="169" formatCode="_-* #,##0.0_-;\-* #,##0.0_-;_-* &quot;-&quot;??_-;_-@_-"/>
    <numFmt numFmtId="170" formatCode="#,##0_%_);\(#,##0\)_%;#,##0_%_);@_%_)"/>
    <numFmt numFmtId="171" formatCode="#,##0_%_);\(#,##0\)_%;**;@_%_)"/>
    <numFmt numFmtId="172" formatCode="#,##0.00_%_);\(#,##0.00\)_%;**;@_%_)"/>
    <numFmt numFmtId="173" formatCode="#,##0.00_%_);\(#,##0.00\)_%;#,##0.00_%_);@_%_)"/>
    <numFmt numFmtId="174" formatCode="#,##0.000_%_);\(#,##0.000\)_%;**;@_%_)"/>
    <numFmt numFmtId="175" formatCode="#,##0.0_%_);\(#,##0.0\)_%;**;@_%_)"/>
    <numFmt numFmtId="176" formatCode="&quot;$&quot;#,##0_%_);\(&quot;$&quot;#,##0\)_%;&quot;$&quot;#,##0_%_);@_%_)"/>
    <numFmt numFmtId="177" formatCode="&quot;$&quot;#,##0.00_%_);\(&quot;$&quot;#,##0.00\)_%;&quot;$&quot;#,##0.00_%_);@_%_)"/>
    <numFmt numFmtId="178" formatCode="&quot;$&quot;#,##0.00_%_);\(&quot;$&quot;#,##0.00\)_%;**;@_%_)"/>
    <numFmt numFmtId="179" formatCode="&quot;$&quot;#,##0.000_%_);\(&quot;$&quot;#,##0.000\)_%;**;@_%_)"/>
    <numFmt numFmtId="180" formatCode="&quot;$&quot;#,##0.0_%_);\(&quot;$&quot;#,##0.0\)_%;**;@_%_)"/>
    <numFmt numFmtId="181" formatCode="m/d/yy_%_)"/>
    <numFmt numFmtId="182" formatCode="m/d/yy_%_);;**"/>
    <numFmt numFmtId="183" formatCode="0_%_);\(0\)_%;0_%_);@_%_)"/>
    <numFmt numFmtId="184" formatCode="0.0\%_);\(0.0\%\);0.0\%_);@_%_)"/>
    <numFmt numFmtId="185" formatCode="0.0\x_)_);&quot;NM&quot;_x_)_);0.0\x_)_);@_%_)"/>
    <numFmt numFmtId="186" formatCode="#,##0.0_x_)_);&quot;NM&quot;_x_)_);#,##0.0_x_)_);@_x_)_)"/>
    <numFmt numFmtId="187" formatCode="0.0%_);\(0.0%\);**;@_%_)"/>
    <numFmt numFmtId="188" formatCode="_ * #,##0_ ;_ * \-#,##0_ ;_ * &quot;-&quot;??_ ;_ @_ "/>
  </numFmts>
  <fonts count="6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Palatino"/>
      <family val="1"/>
    </font>
    <font>
      <sz val="8"/>
      <color indexed="16"/>
      <name val="Palatino"/>
      <family val="1"/>
    </font>
    <font>
      <sz val="7"/>
      <name val="Palatino"/>
      <family val="1"/>
    </font>
    <font>
      <sz val="6"/>
      <color indexed="16"/>
      <name val="Palatino"/>
      <family val="1"/>
    </font>
    <font>
      <sz val="10"/>
      <color indexed="16"/>
      <name val="Helvetica-Black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6"/>
      <name val="Arial"/>
      <family val="2"/>
    </font>
    <font>
      <b/>
      <u/>
      <sz val="16"/>
      <color theme="1"/>
      <name val="Calibri"/>
      <family val="2"/>
      <scheme val="minor"/>
    </font>
    <font>
      <b/>
      <sz val="16"/>
      <name val="Arial"/>
      <family val="2"/>
    </font>
    <font>
      <sz val="16"/>
      <color indexed="10"/>
      <name val="Calibri"/>
      <family val="2"/>
    </font>
    <font>
      <b/>
      <u/>
      <sz val="16"/>
      <color theme="1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i/>
      <sz val="9"/>
      <color rgb="FF000000"/>
      <name val="Calibri"/>
      <family val="2"/>
    </font>
    <font>
      <sz val="11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</font>
    <font>
      <sz val="12"/>
      <color indexed="10"/>
      <name val="Calibri"/>
      <family val="2"/>
    </font>
    <font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6"/>
      <color theme="1"/>
      <name val="Calibri"/>
      <family val="2"/>
    </font>
    <font>
      <sz val="16"/>
      <name val="Calibri"/>
      <family val="2"/>
    </font>
    <font>
      <b/>
      <sz val="16"/>
      <color theme="1"/>
      <name val="Calibri"/>
      <family val="2"/>
    </font>
    <font>
      <b/>
      <sz val="16"/>
      <name val="Calibri"/>
      <family val="2"/>
    </font>
    <font>
      <i/>
      <sz val="12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i/>
      <sz val="16"/>
      <color theme="1"/>
      <name val="Calibri"/>
      <family val="2"/>
    </font>
    <font>
      <sz val="14"/>
      <color theme="1"/>
      <name val="Calibri"/>
      <family val="2"/>
    </font>
    <font>
      <sz val="10"/>
      <name val="Calibri"/>
      <family val="2"/>
    </font>
    <font>
      <sz val="18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11"/>
      <color rgb="FF000000"/>
      <name val="Calibri"/>
      <family val="2"/>
    </font>
    <font>
      <b/>
      <sz val="18"/>
      <color rgb="FF000000"/>
      <name val="Calibri"/>
      <family val="2"/>
    </font>
    <font>
      <sz val="18"/>
      <color rgb="FF000000"/>
      <name val="Calibri"/>
      <family val="2"/>
    </font>
    <font>
      <b/>
      <sz val="18"/>
      <name val="Calibri"/>
      <family val="2"/>
    </font>
    <font>
      <sz val="18"/>
      <color rgb="FFFF0000"/>
      <name val="Calibri"/>
      <family val="2"/>
    </font>
    <font>
      <sz val="18"/>
      <name val="Calibri"/>
      <family val="2"/>
    </font>
    <font>
      <sz val="18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6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medium">
        <color rgb="FF000000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rgb="FF000000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rgb="FF000000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rgb="FF000000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rgb="FF000000"/>
      </right>
      <top style="hair">
        <color auto="1"/>
      </top>
      <bottom style="medium">
        <color auto="1"/>
      </bottom>
      <diagonal/>
    </border>
  </borders>
  <cellStyleXfs count="56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170" fontId="10" fillId="0" borderId="0" applyFont="0" applyFill="0" applyBorder="0" applyAlignment="0" applyProtection="0">
      <alignment horizontal="right"/>
    </xf>
    <xf numFmtId="171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>
      <alignment horizontal="right"/>
    </xf>
    <xf numFmtId="174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>
      <alignment horizontal="right"/>
    </xf>
    <xf numFmtId="177" fontId="10" fillId="0" borderId="0" applyFont="0" applyFill="0" applyBorder="0" applyAlignment="0" applyProtection="0">
      <alignment horizontal="right"/>
    </xf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3" fontId="10" fillId="0" borderId="3" applyNumberFormat="0" applyFont="0" applyFill="0" applyAlignment="0" applyProtection="0"/>
    <xf numFmtId="166" fontId="1" fillId="0" borderId="0" applyFont="0" applyFill="0" applyBorder="0" applyAlignment="0" applyProtection="0"/>
    <xf numFmtId="0" fontId="12" fillId="0" borderId="0" applyFill="0" applyBorder="0" applyProtection="0">
      <alignment horizontal="left"/>
    </xf>
    <xf numFmtId="184" fontId="10" fillId="0" borderId="0" applyFont="0" applyFill="0" applyBorder="0" applyAlignment="0" applyProtection="0">
      <alignment horizontal="right"/>
    </xf>
    <xf numFmtId="0" fontId="13" fillId="0" borderId="0" applyProtection="0">
      <alignment horizontal="right"/>
    </xf>
    <xf numFmtId="185" fontId="10" fillId="0" borderId="0" applyFont="0" applyFill="0" applyBorder="0" applyAlignment="0" applyProtection="0">
      <alignment horizontal="right"/>
    </xf>
    <xf numFmtId="186" fontId="10" fillId="0" borderId="0" applyFont="0" applyFill="0" applyBorder="0" applyAlignment="0" applyProtection="0">
      <alignment horizontal="right"/>
    </xf>
    <xf numFmtId="0" fontId="1" fillId="0" borderId="0"/>
    <xf numFmtId="0" fontId="5" fillId="0" borderId="0"/>
    <xf numFmtId="0" fontId="1" fillId="0" borderId="0"/>
    <xf numFmtId="0" fontId="1" fillId="5" borderId="4" applyNumberFormat="0" applyFont="0" applyAlignment="0" applyProtection="0"/>
    <xf numFmtId="1" fontId="14" fillId="0" borderId="0" applyProtection="0">
      <alignment horizontal="right" vertical="center"/>
    </xf>
    <xf numFmtId="187" fontId="11" fillId="0" borderId="0" applyFont="0" applyFill="0" applyBorder="0" applyAlignment="0" applyProtection="0"/>
    <xf numFmtId="0" fontId="15" fillId="0" borderId="0" applyBorder="0" applyProtection="0">
      <alignment vertical="center"/>
    </xf>
    <xf numFmtId="183" fontId="15" fillId="0" borderId="1" applyBorder="0" applyProtection="0">
      <alignment horizontal="right" vertical="center"/>
    </xf>
    <xf numFmtId="0" fontId="16" fillId="6" borderId="0" applyBorder="0" applyProtection="0">
      <alignment horizontal="centerContinuous" vertical="center"/>
    </xf>
    <xf numFmtId="0" fontId="16" fillId="7" borderId="1" applyBorder="0" applyProtection="0">
      <alignment horizontal="centerContinuous" vertical="center"/>
    </xf>
    <xf numFmtId="0" fontId="17" fillId="0" borderId="0" applyFill="0" applyBorder="0" applyProtection="0">
      <alignment horizontal="left"/>
    </xf>
    <xf numFmtId="0" fontId="12" fillId="0" borderId="5" applyFill="0" applyBorder="0" applyProtection="0">
      <alignment horizontal="left" vertical="top"/>
    </xf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342">
    <xf numFmtId="0" fontId="0" fillId="0" borderId="0" xfId="0"/>
    <xf numFmtId="0" fontId="0" fillId="0" borderId="0" xfId="0" applyFill="1"/>
    <xf numFmtId="0" fontId="6" fillId="0" borderId="0" xfId="0" applyFont="1"/>
    <xf numFmtId="0" fontId="1" fillId="0" borderId="0" xfId="5" applyFont="1" applyFill="1"/>
    <xf numFmtId="168" fontId="0" fillId="0" borderId="0" xfId="0" applyNumberFormat="1"/>
    <xf numFmtId="168" fontId="6" fillId="0" borderId="0" xfId="0" applyNumberFormat="1" applyFont="1"/>
    <xf numFmtId="168" fontId="0" fillId="0" borderId="0" xfId="0" applyNumberFormat="1" applyFill="1"/>
    <xf numFmtId="0" fontId="0" fillId="2" borderId="0" xfId="0" applyFill="1"/>
    <xf numFmtId="43" fontId="5" fillId="0" borderId="0" xfId="1" applyFont="1"/>
    <xf numFmtId="168" fontId="0" fillId="2" borderId="0" xfId="0" applyNumberFormat="1" applyFill="1"/>
    <xf numFmtId="168" fontId="6" fillId="2" borderId="0" xfId="0" applyNumberFormat="1" applyFont="1" applyFill="1"/>
    <xf numFmtId="0" fontId="6" fillId="0" borderId="0" xfId="0" applyFont="1" applyFill="1"/>
    <xf numFmtId="0" fontId="2" fillId="0" borderId="0" xfId="5" applyFont="1" applyFill="1"/>
    <xf numFmtId="168" fontId="0" fillId="0" borderId="0" xfId="0" applyNumberFormat="1" applyAlignment="1">
      <alignment wrapText="1"/>
    </xf>
    <xf numFmtId="168" fontId="18" fillId="0" borderId="0" xfId="0" applyNumberFormat="1" applyFont="1"/>
    <xf numFmtId="0" fontId="18" fillId="0" borderId="0" xfId="0" applyFont="1" applyFill="1"/>
    <xf numFmtId="0" fontId="18" fillId="0" borderId="10" xfId="0" applyFont="1" applyFill="1" applyBorder="1"/>
    <xf numFmtId="0" fontId="22" fillId="2" borderId="10" xfId="0" applyFont="1" applyFill="1" applyBorder="1"/>
    <xf numFmtId="0" fontId="18" fillId="2" borderId="10" xfId="0" applyFont="1" applyFill="1" applyBorder="1"/>
    <xf numFmtId="0" fontId="21" fillId="0" borderId="0" xfId="5" applyFont="1" applyFill="1"/>
    <xf numFmtId="0" fontId="18" fillId="0" borderId="0" xfId="0" applyFont="1"/>
    <xf numFmtId="0" fontId="25" fillId="0" borderId="0" xfId="0" applyFont="1" applyFill="1"/>
    <xf numFmtId="0" fontId="23" fillId="0" borderId="0" xfId="5" applyFont="1" applyFill="1"/>
    <xf numFmtId="3" fontId="21" fillId="0" borderId="0" xfId="5" applyNumberFormat="1" applyFont="1" applyFill="1" applyBorder="1" applyAlignment="1">
      <alignment horizontal="center"/>
    </xf>
    <xf numFmtId="168" fontId="21" fillId="0" borderId="0" xfId="8" applyNumberFormat="1" applyFont="1" applyFill="1" applyAlignment="1">
      <alignment horizontal="right"/>
    </xf>
    <xf numFmtId="168" fontId="21" fillId="0" borderId="18" xfId="8" applyNumberFormat="1" applyFont="1" applyFill="1" applyBorder="1" applyAlignment="1">
      <alignment horizontal="right"/>
    </xf>
    <xf numFmtId="168" fontId="18" fillId="2" borderId="10" xfId="0" applyNumberFormat="1" applyFont="1" applyFill="1" applyBorder="1"/>
    <xf numFmtId="168" fontId="19" fillId="0" borderId="0" xfId="0" applyNumberFormat="1" applyFont="1" applyAlignment="1">
      <alignment horizontal="right"/>
    </xf>
    <xf numFmtId="168" fontId="19" fillId="0" borderId="18" xfId="0" applyNumberFormat="1" applyFont="1" applyBorder="1" applyAlignment="1">
      <alignment horizontal="right"/>
    </xf>
    <xf numFmtId="168" fontId="18" fillId="0" borderId="0" xfId="0" applyNumberFormat="1" applyFont="1" applyAlignment="1">
      <alignment horizontal="right"/>
    </xf>
    <xf numFmtId="168" fontId="18" fillId="0" borderId="18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2" borderId="10" xfId="0" applyFill="1" applyBorder="1"/>
    <xf numFmtId="167" fontId="0" fillId="2" borderId="0" xfId="0" applyNumberFormat="1" applyFill="1"/>
    <xf numFmtId="0" fontId="6" fillId="2" borderId="0" xfId="0" applyFont="1" applyFill="1"/>
    <xf numFmtId="0" fontId="21" fillId="2" borderId="0" xfId="5" applyFont="1" applyFill="1"/>
    <xf numFmtId="0" fontId="18" fillId="2" borderId="0" xfId="0" applyFont="1" applyFill="1"/>
    <xf numFmtId="0" fontId="1" fillId="2" borderId="0" xfId="5" applyFont="1" applyFill="1"/>
    <xf numFmtId="168" fontId="18" fillId="2" borderId="0" xfId="0" applyNumberFormat="1" applyFont="1" applyFill="1"/>
    <xf numFmtId="0" fontId="28" fillId="0" borderId="22" xfId="0" applyFont="1" applyBorder="1" applyAlignment="1">
      <alignment horizontal="left" vertical="center"/>
    </xf>
    <xf numFmtId="0" fontId="0" fillId="2" borderId="0" xfId="0" applyFill="1" applyBorder="1"/>
    <xf numFmtId="0" fontId="0" fillId="0" borderId="0" xfId="0" applyBorder="1"/>
    <xf numFmtId="188" fontId="0" fillId="2" borderId="0" xfId="0" applyNumberFormat="1" applyFill="1" applyBorder="1"/>
    <xf numFmtId="168" fontId="4" fillId="2" borderId="0" xfId="8" applyNumberFormat="1" applyFont="1" applyFill="1" applyAlignment="1"/>
    <xf numFmtId="0" fontId="31" fillId="2" borderId="10" xfId="0" applyFont="1" applyFill="1" applyBorder="1"/>
    <xf numFmtId="3" fontId="4" fillId="2" borderId="0" xfId="5" applyNumberFormat="1" applyFont="1" applyFill="1" applyBorder="1" applyAlignment="1">
      <alignment horizontal="center"/>
    </xf>
    <xf numFmtId="0" fontId="7" fillId="2" borderId="10" xfId="0" applyFont="1" applyFill="1" applyBorder="1"/>
    <xf numFmtId="168" fontId="7" fillId="2" borderId="10" xfId="0" applyNumberFormat="1" applyFont="1" applyFill="1" applyBorder="1"/>
    <xf numFmtId="168" fontId="33" fillId="2" borderId="0" xfId="0" applyNumberFormat="1" applyFont="1" applyFill="1" applyAlignment="1">
      <alignment horizontal="right"/>
    </xf>
    <xf numFmtId="0" fontId="34" fillId="2" borderId="0" xfId="0" applyFont="1" applyFill="1"/>
    <xf numFmtId="0" fontId="7" fillId="2" borderId="0" xfId="0" applyFont="1" applyFill="1"/>
    <xf numFmtId="43" fontId="20" fillId="2" borderId="21" xfId="1" applyFont="1" applyFill="1" applyBorder="1" applyAlignment="1">
      <alignment horizontal="right"/>
    </xf>
    <xf numFmtId="9" fontId="1" fillId="0" borderId="0" xfId="50" applyFont="1" applyFill="1" applyAlignment="1">
      <alignment horizontal="right"/>
    </xf>
    <xf numFmtId="9" fontId="9" fillId="0" borderId="0" xfId="50" applyFont="1" applyAlignment="1">
      <alignment horizontal="right"/>
    </xf>
    <xf numFmtId="0" fontId="0" fillId="0" borderId="0" xfId="0"/>
    <xf numFmtId="188" fontId="0" fillId="2" borderId="0" xfId="0" applyNumberFormat="1" applyFill="1"/>
    <xf numFmtId="167" fontId="0" fillId="2" borderId="0" xfId="1" applyNumberFormat="1" applyFont="1" applyFill="1"/>
    <xf numFmtId="0" fontId="0" fillId="2" borderId="12" xfId="0" applyFill="1" applyBorder="1"/>
    <xf numFmtId="0" fontId="0" fillId="2" borderId="18" xfId="0" applyFill="1" applyBorder="1"/>
    <xf numFmtId="0" fontId="0" fillId="2" borderId="16" xfId="0" applyFill="1" applyBorder="1"/>
    <xf numFmtId="168" fontId="18" fillId="0" borderId="0" xfId="0" applyNumberFormat="1" applyFont="1" applyBorder="1"/>
    <xf numFmtId="168" fontId="18" fillId="0" borderId="0" xfId="0" applyNumberFormat="1" applyFont="1" applyBorder="1" applyAlignment="1">
      <alignment horizontal="right"/>
    </xf>
    <xf numFmtId="168" fontId="19" fillId="0" borderId="0" xfId="0" applyNumberFormat="1" applyFont="1" applyBorder="1" applyAlignment="1">
      <alignment horizontal="right"/>
    </xf>
    <xf numFmtId="3" fontId="21" fillId="0" borderId="0" xfId="5" applyNumberFormat="1" applyFont="1" applyFill="1" applyBorder="1" applyAlignment="1">
      <alignment horizontal="right"/>
    </xf>
    <xf numFmtId="0" fontId="27" fillId="4" borderId="14" xfId="0" applyFont="1" applyFill="1" applyBorder="1" applyAlignment="1">
      <alignment horizontal="center" vertical="center"/>
    </xf>
    <xf numFmtId="0" fontId="27" fillId="4" borderId="22" xfId="0" applyFont="1" applyFill="1" applyBorder="1" applyAlignment="1">
      <alignment horizontal="center" vertical="center"/>
    </xf>
    <xf numFmtId="0" fontId="28" fillId="0" borderId="21" xfId="0" applyFont="1" applyBorder="1" applyAlignment="1">
      <alignment horizontal="right" vertical="center"/>
    </xf>
    <xf numFmtId="167" fontId="0" fillId="2" borderId="6" xfId="1" applyNumberFormat="1" applyFont="1" applyFill="1" applyBorder="1"/>
    <xf numFmtId="0" fontId="27" fillId="8" borderId="6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167" fontId="0" fillId="3" borderId="6" xfId="1" applyNumberFormat="1" applyFont="1" applyFill="1" applyBorder="1"/>
    <xf numFmtId="167" fontId="0" fillId="0" borderId="6" xfId="1" applyNumberFormat="1" applyFont="1" applyFill="1" applyBorder="1"/>
    <xf numFmtId="0" fontId="6" fillId="2" borderId="15" xfId="0" applyFont="1" applyFill="1" applyBorder="1"/>
    <xf numFmtId="0" fontId="0" fillId="2" borderId="21" xfId="0" applyFill="1" applyBorder="1"/>
    <xf numFmtId="167" fontId="6" fillId="2" borderId="21" xfId="0" applyNumberFormat="1" applyFont="1" applyFill="1" applyBorder="1"/>
    <xf numFmtId="0" fontId="37" fillId="2" borderId="24" xfId="0" applyFont="1" applyFill="1" applyBorder="1"/>
    <xf numFmtId="0" fontId="0" fillId="2" borderId="1" xfId="0" applyFill="1" applyBorder="1"/>
    <xf numFmtId="167" fontId="37" fillId="2" borderId="1" xfId="1" applyNumberFormat="1" applyFont="1" applyFill="1" applyBorder="1"/>
    <xf numFmtId="167" fontId="6" fillId="2" borderId="16" xfId="0" applyNumberFormat="1" applyFont="1" applyFill="1" applyBorder="1"/>
    <xf numFmtId="168" fontId="21" fillId="0" borderId="10" xfId="8" applyNumberFormat="1" applyFont="1" applyFill="1" applyBorder="1" applyAlignment="1">
      <alignment horizontal="right"/>
    </xf>
    <xf numFmtId="168" fontId="19" fillId="0" borderId="10" xfId="0" applyNumberFormat="1" applyFont="1" applyBorder="1" applyAlignment="1">
      <alignment horizontal="right"/>
    </xf>
    <xf numFmtId="168" fontId="18" fillId="0" borderId="10" xfId="0" applyNumberFormat="1" applyFont="1" applyBorder="1" applyAlignment="1">
      <alignment horizontal="right"/>
    </xf>
    <xf numFmtId="9" fontId="1" fillId="0" borderId="18" xfId="50" applyFont="1" applyFill="1" applyBorder="1" applyAlignment="1">
      <alignment horizontal="right"/>
    </xf>
    <xf numFmtId="9" fontId="0" fillId="2" borderId="0" xfId="50" applyFont="1" applyFill="1"/>
    <xf numFmtId="9" fontId="0" fillId="2" borderId="0" xfId="50" applyFont="1" applyFill="1" applyBorder="1"/>
    <xf numFmtId="1" fontId="21" fillId="0" borderId="0" xfId="5" applyNumberFormat="1" applyFont="1" applyFill="1" applyBorder="1" applyAlignment="1">
      <alignment horizontal="center"/>
    </xf>
    <xf numFmtId="1" fontId="21" fillId="0" borderId="0" xfId="5" applyNumberFormat="1" applyFont="1" applyFill="1" applyBorder="1" applyAlignment="1">
      <alignment horizontal="right"/>
    </xf>
    <xf numFmtId="1" fontId="0" fillId="2" borderId="0" xfId="0" applyNumberFormat="1" applyFill="1" applyBorder="1"/>
    <xf numFmtId="0" fontId="30" fillId="0" borderId="0" xfId="0" applyFont="1"/>
    <xf numFmtId="0" fontId="41" fillId="0" borderId="0" xfId="0" applyFont="1"/>
    <xf numFmtId="0" fontId="42" fillId="0" borderId="0" xfId="5" applyFont="1" applyFill="1"/>
    <xf numFmtId="0" fontId="41" fillId="0" borderId="0" xfId="0" applyFont="1" applyFill="1"/>
    <xf numFmtId="43" fontId="30" fillId="0" borderId="0" xfId="1" applyFont="1"/>
    <xf numFmtId="0" fontId="45" fillId="2" borderId="10" xfId="0" applyFont="1" applyFill="1" applyBorder="1"/>
    <xf numFmtId="168" fontId="41" fillId="0" borderId="0" xfId="0" applyNumberFormat="1" applyFont="1"/>
    <xf numFmtId="43" fontId="46" fillId="0" borderId="9" xfId="1" applyFont="1" applyBorder="1" applyAlignment="1">
      <alignment horizontal="right"/>
    </xf>
    <xf numFmtId="0" fontId="47" fillId="0" borderId="0" xfId="0" applyFont="1"/>
    <xf numFmtId="0" fontId="41" fillId="2" borderId="10" xfId="0" applyFont="1" applyFill="1" applyBorder="1"/>
    <xf numFmtId="169" fontId="42" fillId="0" borderId="9" xfId="1" applyNumberFormat="1" applyFont="1" applyBorder="1"/>
    <xf numFmtId="0" fontId="25" fillId="2" borderId="10" xfId="0" applyFont="1" applyFill="1" applyBorder="1"/>
    <xf numFmtId="167" fontId="42" fillId="0" borderId="9" xfId="1" applyNumberFormat="1" applyFont="1" applyFill="1" applyBorder="1" applyAlignment="1">
      <alignment horizontal="right"/>
    </xf>
    <xf numFmtId="0" fontId="48" fillId="2" borderId="10" xfId="0" applyFont="1" applyFill="1" applyBorder="1"/>
    <xf numFmtId="167" fontId="43" fillId="0" borderId="9" xfId="1" applyNumberFormat="1" applyFont="1" applyBorder="1" applyAlignment="1">
      <alignment horizontal="right"/>
    </xf>
    <xf numFmtId="0" fontId="41" fillId="0" borderId="10" xfId="0" applyFont="1" applyFill="1" applyBorder="1"/>
    <xf numFmtId="168" fontId="41" fillId="0" borderId="9" xfId="0" applyNumberFormat="1" applyFont="1" applyBorder="1" applyAlignment="1">
      <alignment horizontal="right"/>
    </xf>
    <xf numFmtId="167" fontId="47" fillId="0" borderId="0" xfId="1" applyNumberFormat="1" applyFont="1"/>
    <xf numFmtId="0" fontId="30" fillId="0" borderId="0" xfId="0" applyFont="1" applyFill="1"/>
    <xf numFmtId="168" fontId="30" fillId="0" borderId="0" xfId="0" applyNumberFormat="1" applyFont="1"/>
    <xf numFmtId="0" fontId="50" fillId="0" borderId="0" xfId="0" applyFont="1" applyFill="1"/>
    <xf numFmtId="168" fontId="30" fillId="0" borderId="0" xfId="0" applyNumberFormat="1" applyFont="1" applyAlignment="1">
      <alignment wrapText="1"/>
    </xf>
    <xf numFmtId="0" fontId="50" fillId="0" borderId="0" xfId="0" applyFont="1" applyFill="1" applyAlignment="1">
      <alignment wrapText="1"/>
    </xf>
    <xf numFmtId="0" fontId="51" fillId="0" borderId="0" xfId="5" applyFont="1" applyFill="1"/>
    <xf numFmtId="0" fontId="52" fillId="0" borderId="0" xfId="5" applyFont="1" applyFill="1"/>
    <xf numFmtId="0" fontId="53" fillId="0" borderId="0" xfId="0" applyFont="1" applyFill="1"/>
    <xf numFmtId="168" fontId="54" fillId="0" borderId="0" xfId="0" applyNumberFormat="1" applyFont="1"/>
    <xf numFmtId="0" fontId="54" fillId="0" borderId="0" xfId="0" applyFont="1"/>
    <xf numFmtId="1" fontId="52" fillId="0" borderId="0" xfId="5" applyNumberFormat="1" applyFont="1" applyFill="1"/>
    <xf numFmtId="0" fontId="54" fillId="0" borderId="0" xfId="0" applyFont="1" applyFill="1"/>
    <xf numFmtId="0" fontId="55" fillId="0" borderId="0" xfId="0" applyFont="1"/>
    <xf numFmtId="0" fontId="57" fillId="0" borderId="0" xfId="0" applyFont="1"/>
    <xf numFmtId="0" fontId="57" fillId="0" borderId="26" xfId="0" applyFont="1" applyBorder="1" applyAlignment="1">
      <alignment vertical="center" wrapText="1"/>
    </xf>
    <xf numFmtId="0" fontId="57" fillId="0" borderId="27" xfId="0" applyFont="1" applyBorder="1" applyAlignment="1">
      <alignment wrapText="1"/>
    </xf>
    <xf numFmtId="0" fontId="54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50" fillId="0" borderId="0" xfId="0" applyFont="1"/>
    <xf numFmtId="0" fontId="53" fillId="0" borderId="0" xfId="0" applyFont="1"/>
    <xf numFmtId="0" fontId="54" fillId="0" borderId="28" xfId="0" applyFont="1" applyBorder="1" applyAlignment="1">
      <alignment wrapText="1"/>
    </xf>
    <xf numFmtId="0" fontId="54" fillId="0" borderId="26" xfId="0" applyFont="1" applyFill="1" applyBorder="1" applyAlignment="1">
      <alignment wrapText="1"/>
    </xf>
    <xf numFmtId="0" fontId="54" fillId="0" borderId="26" xfId="0" applyFont="1" applyBorder="1" applyAlignment="1">
      <alignment wrapText="1"/>
    </xf>
    <xf numFmtId="0" fontId="52" fillId="0" borderId="27" xfId="5" applyFont="1" applyFill="1" applyBorder="1" applyAlignment="1">
      <alignment wrapText="1"/>
    </xf>
    <xf numFmtId="0" fontId="53" fillId="0" borderId="29" xfId="0" applyFont="1" applyFill="1" applyBorder="1"/>
    <xf numFmtId="168" fontId="53" fillId="0" borderId="29" xfId="0" applyNumberFormat="1" applyFont="1" applyBorder="1"/>
    <xf numFmtId="0" fontId="53" fillId="0" borderId="25" xfId="0" applyFont="1" applyFill="1" applyBorder="1"/>
    <xf numFmtId="168" fontId="54" fillId="0" borderId="25" xfId="0" applyNumberFormat="1" applyFont="1" applyBorder="1"/>
    <xf numFmtId="168" fontId="54" fillId="0" borderId="25" xfId="0" applyNumberFormat="1" applyFont="1" applyBorder="1" applyAlignment="1">
      <alignment horizontal="right"/>
    </xf>
    <xf numFmtId="0" fontId="43" fillId="0" borderId="8" xfId="0" applyFont="1" applyFill="1" applyBorder="1"/>
    <xf numFmtId="0" fontId="41" fillId="0" borderId="7" xfId="0" applyFont="1" applyFill="1" applyBorder="1"/>
    <xf numFmtId="0" fontId="41" fillId="0" borderId="13" xfId="0" applyFont="1" applyFill="1" applyBorder="1"/>
    <xf numFmtId="0" fontId="44" fillId="0" borderId="6" xfId="5" applyFont="1" applyFill="1" applyBorder="1" applyAlignment="1">
      <alignment horizontal="right"/>
    </xf>
    <xf numFmtId="0" fontId="0" fillId="0" borderId="0" xfId="0" applyFill="1" applyBorder="1"/>
    <xf numFmtId="0" fontId="6" fillId="0" borderId="0" xfId="0" applyFont="1" applyFill="1" applyBorder="1"/>
    <xf numFmtId="0" fontId="19" fillId="0" borderId="0" xfId="0" applyFont="1" applyFill="1" applyBorder="1"/>
    <xf numFmtId="0" fontId="22" fillId="0" borderId="0" xfId="0" applyFont="1" applyFill="1" applyBorder="1"/>
    <xf numFmtId="0" fontId="23" fillId="0" borderId="0" xfId="5" applyFont="1" applyFill="1" applyBorder="1" applyAlignment="1">
      <alignment horizontal="center"/>
    </xf>
    <xf numFmtId="2" fontId="6" fillId="0" borderId="0" xfId="0" applyNumberFormat="1" applyFont="1" applyFill="1" applyBorder="1"/>
    <xf numFmtId="168" fontId="0" fillId="0" borderId="0" xfId="0" applyNumberFormat="1" applyFill="1" applyBorder="1"/>
    <xf numFmtId="168" fontId="6" fillId="0" borderId="0" xfId="0" applyNumberFormat="1" applyFont="1" applyFill="1" applyBorder="1"/>
    <xf numFmtId="0" fontId="38" fillId="0" borderId="0" xfId="0" applyFont="1" applyFill="1" applyBorder="1"/>
    <xf numFmtId="1" fontId="38" fillId="0" borderId="0" xfId="0" applyNumberFormat="1" applyFont="1" applyFill="1" applyBorder="1"/>
    <xf numFmtId="0" fontId="59" fillId="0" borderId="0" xfId="0" applyFont="1"/>
    <xf numFmtId="0" fontId="56" fillId="0" borderId="0" xfId="0" applyFont="1" applyAlignment="1">
      <alignment vertical="center"/>
    </xf>
    <xf numFmtId="0" fontId="52" fillId="0" borderId="30" xfId="5" applyFont="1" applyFill="1" applyBorder="1"/>
    <xf numFmtId="0" fontId="51" fillId="0" borderId="30" xfId="5" applyFont="1" applyFill="1" applyBorder="1"/>
    <xf numFmtId="0" fontId="51" fillId="0" borderId="31" xfId="5" applyFont="1" applyFill="1" applyBorder="1"/>
    <xf numFmtId="0" fontId="41" fillId="2" borderId="32" xfId="0" applyFont="1" applyFill="1" applyBorder="1"/>
    <xf numFmtId="168" fontId="41" fillId="0" borderId="33" xfId="0" applyNumberFormat="1" applyFont="1" applyBorder="1"/>
    <xf numFmtId="167" fontId="42" fillId="0" borderId="34" xfId="1" applyNumberFormat="1" applyFont="1" applyBorder="1"/>
    <xf numFmtId="168" fontId="41" fillId="0" borderId="30" xfId="0" applyNumberFormat="1" applyFont="1" applyBorder="1"/>
    <xf numFmtId="0" fontId="41" fillId="2" borderId="35" xfId="0" applyFont="1" applyFill="1" applyBorder="1"/>
    <xf numFmtId="167" fontId="42" fillId="0" borderId="36" xfId="1" applyNumberFormat="1" applyFont="1" applyBorder="1"/>
    <xf numFmtId="0" fontId="41" fillId="2" borderId="37" xfId="0" applyFont="1" applyFill="1" applyBorder="1"/>
    <xf numFmtId="168" fontId="41" fillId="0" borderId="38" xfId="0" applyNumberFormat="1" applyFont="1" applyBorder="1"/>
    <xf numFmtId="167" fontId="42" fillId="0" borderId="39" xfId="1" applyNumberFormat="1" applyFont="1" applyBorder="1"/>
    <xf numFmtId="0" fontId="43" fillId="0" borderId="32" xfId="0" applyFont="1" applyFill="1" applyBorder="1"/>
    <xf numFmtId="168" fontId="43" fillId="0" borderId="33" xfId="0" applyNumberFormat="1" applyFont="1" applyBorder="1"/>
    <xf numFmtId="168" fontId="46" fillId="0" borderId="33" xfId="0" applyNumberFormat="1" applyFont="1" applyBorder="1"/>
    <xf numFmtId="167" fontId="43" fillId="0" borderId="34" xfId="1" applyNumberFormat="1" applyFont="1" applyBorder="1" applyAlignment="1">
      <alignment horizontal="right"/>
    </xf>
    <xf numFmtId="0" fontId="43" fillId="0" borderId="37" xfId="0" applyFont="1" applyFill="1" applyBorder="1"/>
    <xf numFmtId="168" fontId="43" fillId="0" borderId="38" xfId="0" applyNumberFormat="1" applyFont="1" applyBorder="1"/>
    <xf numFmtId="168" fontId="46" fillId="0" borderId="38" xfId="0" applyNumberFormat="1" applyFont="1" applyBorder="1"/>
    <xf numFmtId="167" fontId="43" fillId="0" borderId="39" xfId="1" applyNumberFormat="1" applyFont="1" applyBorder="1" applyAlignment="1">
      <alignment horizontal="right"/>
    </xf>
    <xf numFmtId="0" fontId="49" fillId="0" borderId="35" xfId="0" applyFont="1" applyFill="1" applyBorder="1"/>
    <xf numFmtId="168" fontId="49" fillId="0" borderId="30" xfId="0" applyNumberFormat="1" applyFont="1" applyFill="1" applyBorder="1"/>
    <xf numFmtId="168" fontId="49" fillId="0" borderId="36" xfId="0" applyNumberFormat="1" applyFont="1" applyFill="1" applyBorder="1" applyAlignment="1">
      <alignment horizontal="right"/>
    </xf>
    <xf numFmtId="0" fontId="49" fillId="0" borderId="41" xfId="0" applyFont="1" applyFill="1" applyBorder="1"/>
    <xf numFmtId="168" fontId="49" fillId="0" borderId="42" xfId="0" applyNumberFormat="1" applyFont="1" applyFill="1" applyBorder="1"/>
    <xf numFmtId="168" fontId="49" fillId="0" borderId="40" xfId="0" applyNumberFormat="1" applyFont="1" applyFill="1" applyBorder="1" applyAlignment="1">
      <alignment horizontal="right"/>
    </xf>
    <xf numFmtId="188" fontId="57" fillId="0" borderId="44" xfId="0" applyNumberFormat="1" applyFont="1" applyBorder="1"/>
    <xf numFmtId="188" fontId="57" fillId="0" borderId="46" xfId="0" applyNumberFormat="1" applyFont="1" applyBorder="1"/>
    <xf numFmtId="0" fontId="18" fillId="0" borderId="0" xfId="0" applyFont="1" applyFill="1" applyBorder="1"/>
    <xf numFmtId="168" fontId="19" fillId="10" borderId="19" xfId="0" applyNumberFormat="1" applyFont="1" applyFill="1" applyBorder="1"/>
    <xf numFmtId="168" fontId="18" fillId="10" borderId="2" xfId="0" applyNumberFormat="1" applyFont="1" applyFill="1" applyBorder="1"/>
    <xf numFmtId="168" fontId="19" fillId="10" borderId="2" xfId="0" applyNumberFormat="1" applyFont="1" applyFill="1" applyBorder="1" applyAlignment="1">
      <alignment horizontal="right"/>
    </xf>
    <xf numFmtId="0" fontId="19" fillId="10" borderId="19" xfId="0" applyFont="1" applyFill="1" applyBorder="1"/>
    <xf numFmtId="0" fontId="22" fillId="2" borderId="0" xfId="0" applyFont="1" applyFill="1" applyBorder="1"/>
    <xf numFmtId="3" fontId="21" fillId="0" borderId="0" xfId="8" applyNumberFormat="1" applyFont="1" applyFill="1" applyBorder="1" applyAlignment="1">
      <alignment horizontal="center"/>
    </xf>
    <xf numFmtId="168" fontId="21" fillId="0" borderId="0" xfId="8" applyNumberFormat="1" applyFont="1" applyFill="1" applyBorder="1" applyAlignment="1">
      <alignment horizontal="right"/>
    </xf>
    <xf numFmtId="168" fontId="18" fillId="2" borderId="0" xfId="0" applyNumberFormat="1" applyFont="1" applyFill="1" applyBorder="1"/>
    <xf numFmtId="168" fontId="19" fillId="10" borderId="2" xfId="0" applyNumberFormat="1" applyFont="1" applyFill="1" applyBorder="1"/>
    <xf numFmtId="0" fontId="19" fillId="10" borderId="2" xfId="0" applyFont="1" applyFill="1" applyBorder="1"/>
    <xf numFmtId="0" fontId="18" fillId="9" borderId="0" xfId="0" applyFont="1" applyFill="1" applyBorder="1"/>
    <xf numFmtId="168" fontId="18" fillId="9" borderId="0" xfId="0" applyNumberFormat="1" applyFont="1" applyFill="1" applyBorder="1"/>
    <xf numFmtId="168" fontId="19" fillId="9" borderId="0" xfId="0" applyNumberFormat="1" applyFont="1" applyFill="1" applyBorder="1" applyAlignment="1">
      <alignment horizontal="right"/>
    </xf>
    <xf numFmtId="0" fontId="19" fillId="9" borderId="0" xfId="0" applyFont="1" applyFill="1" applyBorder="1"/>
    <xf numFmtId="0" fontId="28" fillId="0" borderId="36" xfId="0" applyFont="1" applyFill="1" applyBorder="1" applyAlignment="1">
      <alignment horizontal="left" vertical="center"/>
    </xf>
    <xf numFmtId="0" fontId="28" fillId="0" borderId="48" xfId="0" applyFont="1" applyFill="1" applyBorder="1" applyAlignment="1">
      <alignment horizontal="right" vertical="center"/>
    </xf>
    <xf numFmtId="188" fontId="28" fillId="0" borderId="48" xfId="1" applyNumberFormat="1" applyFont="1" applyFill="1" applyBorder="1" applyAlignment="1">
      <alignment horizontal="right" vertical="center"/>
    </xf>
    <xf numFmtId="188" fontId="27" fillId="0" borderId="48" xfId="0" applyNumberFormat="1" applyFont="1" applyFill="1" applyBorder="1" applyAlignment="1">
      <alignment horizontal="right" vertical="center"/>
    </xf>
    <xf numFmtId="3" fontId="8" fillId="0" borderId="36" xfId="5" applyNumberFormat="1" applyFont="1" applyFill="1" applyBorder="1" applyAlignment="1">
      <alignment horizontal="left"/>
    </xf>
    <xf numFmtId="188" fontId="27" fillId="10" borderId="51" xfId="0" applyNumberFormat="1" applyFont="1" applyFill="1" applyBorder="1" applyAlignment="1">
      <alignment horizontal="right" vertical="center"/>
    </xf>
    <xf numFmtId="0" fontId="29" fillId="10" borderId="37" xfId="0" applyFont="1" applyFill="1" applyBorder="1" applyAlignment="1">
      <alignment horizontal="left" vertical="center" wrapText="1"/>
    </xf>
    <xf numFmtId="0" fontId="29" fillId="10" borderId="51" xfId="0" applyFont="1" applyFill="1" applyBorder="1" applyAlignment="1">
      <alignment horizontal="left" vertical="center" wrapText="1"/>
    </xf>
    <xf numFmtId="188" fontId="27" fillId="10" borderId="58" xfId="0" applyNumberFormat="1" applyFont="1" applyFill="1" applyBorder="1" applyAlignment="1">
      <alignment horizontal="right" vertical="center"/>
    </xf>
    <xf numFmtId="0" fontId="29" fillId="11" borderId="41" xfId="0" applyFont="1" applyFill="1" applyBorder="1" applyAlignment="1">
      <alignment horizontal="left" vertical="center" wrapText="1"/>
    </xf>
    <xf numFmtId="0" fontId="29" fillId="11" borderId="42" xfId="0" applyFont="1" applyFill="1" applyBorder="1" applyAlignment="1">
      <alignment horizontal="left" vertical="center" wrapText="1"/>
    </xf>
    <xf numFmtId="188" fontId="27" fillId="11" borderId="49" xfId="0" applyNumberFormat="1" applyFont="1" applyFill="1" applyBorder="1" applyAlignment="1">
      <alignment horizontal="right" vertical="center"/>
    </xf>
    <xf numFmtId="188" fontId="27" fillId="11" borderId="50" xfId="0" applyNumberFormat="1" applyFont="1" applyFill="1" applyBorder="1" applyAlignment="1">
      <alignment horizontal="right" vertical="center"/>
    </xf>
    <xf numFmtId="0" fontId="28" fillId="0" borderId="36" xfId="0" applyFont="1" applyBorder="1" applyAlignment="1">
      <alignment horizontal="left" vertical="center"/>
    </xf>
    <xf numFmtId="0" fontId="28" fillId="0" borderId="48" xfId="0" applyFont="1" applyBorder="1" applyAlignment="1">
      <alignment horizontal="right" vertical="center"/>
    </xf>
    <xf numFmtId="188" fontId="28" fillId="2" borderId="48" xfId="1" applyNumberFormat="1" applyFont="1" applyFill="1" applyBorder="1" applyAlignment="1">
      <alignment horizontal="right" vertical="center"/>
    </xf>
    <xf numFmtId="188" fontId="28" fillId="0" borderId="48" xfId="0" applyNumberFormat="1" applyFont="1" applyFill="1" applyBorder="1" applyAlignment="1">
      <alignment horizontal="right" vertical="center"/>
    </xf>
    <xf numFmtId="188" fontId="27" fillId="10" borderId="50" xfId="1" applyNumberFormat="1" applyFont="1" applyFill="1" applyBorder="1" applyAlignment="1">
      <alignment horizontal="right" vertical="center"/>
    </xf>
    <xf numFmtId="0" fontId="19" fillId="9" borderId="11" xfId="0" applyFont="1" applyFill="1" applyBorder="1"/>
    <xf numFmtId="0" fontId="18" fillId="9" borderId="12" xfId="0" applyFont="1" applyFill="1" applyBorder="1"/>
    <xf numFmtId="0" fontId="23" fillId="9" borderId="8" xfId="5" applyFont="1" applyFill="1" applyBorder="1"/>
    <xf numFmtId="0" fontId="23" fillId="9" borderId="7" xfId="5" applyFont="1" applyFill="1" applyBorder="1"/>
    <xf numFmtId="0" fontId="23" fillId="9" borderId="7" xfId="5" applyFont="1" applyFill="1" applyBorder="1" applyAlignment="1">
      <alignment horizontal="center"/>
    </xf>
    <xf numFmtId="3" fontId="23" fillId="9" borderId="13" xfId="5" quotePrefix="1" applyNumberFormat="1" applyFont="1" applyFill="1" applyBorder="1" applyAlignment="1">
      <alignment horizontal="center"/>
    </xf>
    <xf numFmtId="3" fontId="23" fillId="9" borderId="7" xfId="5" quotePrefix="1" applyNumberFormat="1" applyFont="1" applyFill="1" applyBorder="1" applyAlignment="1">
      <alignment horizontal="center"/>
    </xf>
    <xf numFmtId="3" fontId="23" fillId="9" borderId="6" xfId="5" quotePrefix="1" applyNumberFormat="1" applyFont="1" applyFill="1" applyBorder="1" applyAlignment="1">
      <alignment horizontal="center"/>
    </xf>
    <xf numFmtId="0" fontId="18" fillId="9" borderId="15" xfId="0" applyFont="1" applyFill="1" applyBorder="1"/>
    <xf numFmtId="0" fontId="18" fillId="9" borderId="16" xfId="0" applyFont="1" applyFill="1" applyBorder="1"/>
    <xf numFmtId="3" fontId="23" fillId="9" borderId="6" xfId="5" applyNumberFormat="1" applyFont="1" applyFill="1" applyBorder="1" applyAlignment="1">
      <alignment horizontal="center"/>
    </xf>
    <xf numFmtId="3" fontId="23" fillId="9" borderId="17" xfId="5" applyNumberFormat="1" applyFont="1" applyFill="1" applyBorder="1" applyAlignment="1">
      <alignment horizontal="center"/>
    </xf>
    <xf numFmtId="168" fontId="18" fillId="10" borderId="2" xfId="0" applyNumberFormat="1" applyFont="1" applyFill="1" applyBorder="1" applyAlignment="1">
      <alignment horizontal="right"/>
    </xf>
    <xf numFmtId="9" fontId="19" fillId="10" borderId="2" xfId="50" applyFont="1" applyFill="1" applyBorder="1" applyAlignment="1">
      <alignment horizontal="right"/>
    </xf>
    <xf numFmtId="168" fontId="19" fillId="10" borderId="19" xfId="0" applyNumberFormat="1" applyFont="1" applyFill="1" applyBorder="1" applyAlignment="1">
      <alignment horizontal="right"/>
    </xf>
    <xf numFmtId="168" fontId="19" fillId="10" borderId="20" xfId="0" applyNumberFormat="1" applyFont="1" applyFill="1" applyBorder="1" applyAlignment="1">
      <alignment horizontal="right"/>
    </xf>
    <xf numFmtId="0" fontId="22" fillId="11" borderId="10" xfId="0" applyFont="1" applyFill="1" applyBorder="1"/>
    <xf numFmtId="168" fontId="18" fillId="11" borderId="0" xfId="0" applyNumberFormat="1" applyFont="1" applyFill="1"/>
    <xf numFmtId="168" fontId="19" fillId="11" borderId="0" xfId="0" applyNumberFormat="1" applyFont="1" applyFill="1" applyAlignment="1">
      <alignment horizontal="right"/>
    </xf>
    <xf numFmtId="168" fontId="19" fillId="11" borderId="10" xfId="0" applyNumberFormat="1" applyFont="1" applyFill="1" applyBorder="1" applyAlignment="1">
      <alignment horizontal="right"/>
    </xf>
    <xf numFmtId="168" fontId="19" fillId="11" borderId="18" xfId="0" applyNumberFormat="1" applyFont="1" applyFill="1" applyBorder="1" applyAlignment="1">
      <alignment horizontal="right"/>
    </xf>
    <xf numFmtId="0" fontId="18" fillId="11" borderId="10" xfId="0" applyFont="1" applyFill="1" applyBorder="1"/>
    <xf numFmtId="0" fontId="19" fillId="11" borderId="15" xfId="0" applyFont="1" applyFill="1" applyBorder="1"/>
    <xf numFmtId="168" fontId="18" fillId="11" borderId="21" xfId="0" applyNumberFormat="1" applyFont="1" applyFill="1" applyBorder="1"/>
    <xf numFmtId="168" fontId="19" fillId="11" borderId="21" xfId="0" applyNumberFormat="1" applyFont="1" applyFill="1" applyBorder="1" applyAlignment="1">
      <alignment horizontal="right"/>
    </xf>
    <xf numFmtId="168" fontId="19" fillId="11" borderId="15" xfId="0" applyNumberFormat="1" applyFont="1" applyFill="1" applyBorder="1" applyAlignment="1">
      <alignment horizontal="right"/>
    </xf>
    <xf numFmtId="168" fontId="19" fillId="11" borderId="16" xfId="0" applyNumberFormat="1" applyFont="1" applyFill="1" applyBorder="1" applyAlignment="1">
      <alignment horizontal="right"/>
    </xf>
    <xf numFmtId="0" fontId="33" fillId="11" borderId="6" xfId="0" applyFont="1" applyFill="1" applyBorder="1"/>
    <xf numFmtId="14" fontId="32" fillId="11" borderId="8" xfId="5" applyNumberFormat="1" applyFont="1" applyFill="1" applyBorder="1"/>
    <xf numFmtId="168" fontId="33" fillId="10" borderId="19" xfId="0" applyNumberFormat="1" applyFont="1" applyFill="1" applyBorder="1"/>
    <xf numFmtId="168" fontId="33" fillId="10" borderId="2" xfId="0" applyNumberFormat="1" applyFont="1" applyFill="1" applyBorder="1" applyAlignment="1">
      <alignment horizontal="right"/>
    </xf>
    <xf numFmtId="0" fontId="33" fillId="10" borderId="19" xfId="0" applyFont="1" applyFill="1" applyBorder="1"/>
    <xf numFmtId="0" fontId="18" fillId="11" borderId="0" xfId="0" applyFont="1" applyFill="1"/>
    <xf numFmtId="0" fontId="21" fillId="11" borderId="0" xfId="5" applyFont="1" applyFill="1"/>
    <xf numFmtId="0" fontId="19" fillId="11" borderId="33" xfId="0" applyFont="1" applyFill="1" applyBorder="1"/>
    <xf numFmtId="0" fontId="18" fillId="11" borderId="33" xfId="0" applyFont="1" applyFill="1" applyBorder="1"/>
    <xf numFmtId="0" fontId="23" fillId="11" borderId="33" xfId="5" applyFont="1" applyFill="1" applyBorder="1" applyAlignment="1">
      <alignment horizontal="center"/>
    </xf>
    <xf numFmtId="0" fontId="19" fillId="2" borderId="0" xfId="0" applyFont="1" applyFill="1" applyBorder="1"/>
    <xf numFmtId="14" fontId="32" fillId="11" borderId="6" xfId="5" applyNumberFormat="1" applyFont="1" applyFill="1" applyBorder="1"/>
    <xf numFmtId="3" fontId="32" fillId="2" borderId="18" xfId="8" applyNumberFormat="1" applyFont="1" applyFill="1" applyBorder="1" applyAlignment="1">
      <alignment horizontal="center"/>
    </xf>
    <xf numFmtId="168" fontId="4" fillId="2" borderId="18" xfId="8" applyNumberFormat="1" applyFont="1" applyFill="1" applyBorder="1" applyAlignment="1"/>
    <xf numFmtId="168" fontId="33" fillId="10" borderId="20" xfId="0" applyNumberFormat="1" applyFont="1" applyFill="1" applyBorder="1" applyAlignment="1">
      <alignment horizontal="right"/>
    </xf>
    <xf numFmtId="168" fontId="33" fillId="2" borderId="18" xfId="0" applyNumberFormat="1" applyFont="1" applyFill="1" applyBorder="1" applyAlignment="1">
      <alignment horizontal="right"/>
    </xf>
    <xf numFmtId="168" fontId="36" fillId="2" borderId="18" xfId="0" applyNumberFormat="1" applyFont="1" applyFill="1" applyBorder="1" applyAlignment="1">
      <alignment horizontal="right"/>
    </xf>
    <xf numFmtId="9" fontId="1" fillId="0" borderId="0" xfId="50" applyFont="1" applyFill="1" applyBorder="1" applyAlignment="1">
      <alignment horizontal="right"/>
    </xf>
    <xf numFmtId="168" fontId="54" fillId="0" borderId="33" xfId="0" applyNumberFormat="1" applyFont="1" applyBorder="1"/>
    <xf numFmtId="0" fontId="60" fillId="0" borderId="30" xfId="5" applyFont="1" applyFill="1" applyBorder="1"/>
    <xf numFmtId="0" fontId="61" fillId="0" borderId="33" xfId="0" applyFont="1" applyFill="1" applyBorder="1" applyAlignment="1">
      <alignment wrapText="1"/>
    </xf>
    <xf numFmtId="0" fontId="27" fillId="4" borderId="9" xfId="0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horizontal="center" vertical="center"/>
    </xf>
    <xf numFmtId="0" fontId="54" fillId="2" borderId="0" xfId="0" applyFont="1" applyFill="1" applyBorder="1" applyAlignment="1">
      <alignment wrapText="1"/>
    </xf>
    <xf numFmtId="0" fontId="30" fillId="2" borderId="0" xfId="0" applyFont="1" applyFill="1" applyBorder="1" applyAlignment="1">
      <alignment wrapText="1"/>
    </xf>
    <xf numFmtId="188" fontId="57" fillId="2" borderId="0" xfId="0" applyNumberFormat="1" applyFont="1" applyFill="1" applyBorder="1"/>
    <xf numFmtId="0" fontId="51" fillId="2" borderId="0" xfId="5" applyFont="1" applyFill="1" applyBorder="1"/>
    <xf numFmtId="0" fontId="30" fillId="2" borderId="0" xfId="0" applyFont="1" applyFill="1" applyBorder="1"/>
    <xf numFmtId="0" fontId="30" fillId="0" borderId="0" xfId="0" applyFont="1" applyBorder="1" applyAlignment="1">
      <alignment wrapText="1"/>
    </xf>
    <xf numFmtId="188" fontId="57" fillId="0" borderId="0" xfId="0" applyNumberFormat="1" applyFont="1" applyBorder="1"/>
    <xf numFmtId="0" fontId="54" fillId="0" borderId="0" xfId="0" applyFont="1" applyBorder="1"/>
    <xf numFmtId="0" fontId="30" fillId="0" borderId="0" xfId="0" applyFont="1" applyBorder="1"/>
    <xf numFmtId="0" fontId="27" fillId="4" borderId="14" xfId="0" applyFont="1" applyFill="1" applyBorder="1" applyAlignment="1">
      <alignment horizontal="center" vertical="center"/>
    </xf>
    <xf numFmtId="0" fontId="27" fillId="4" borderId="22" xfId="0" applyFont="1" applyFill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7" fillId="4" borderId="9" xfId="0" applyFont="1" applyFill="1" applyBorder="1" applyAlignment="1">
      <alignment horizontal="center" vertical="center"/>
    </xf>
    <xf numFmtId="0" fontId="27" fillId="8" borderId="8" xfId="0" applyFont="1" applyFill="1" applyBorder="1" applyAlignment="1">
      <alignment horizontal="center" vertical="center" wrapText="1"/>
    </xf>
    <xf numFmtId="0" fontId="27" fillId="8" borderId="7" xfId="0" applyFont="1" applyFill="1" applyBorder="1" applyAlignment="1">
      <alignment horizontal="center" vertical="center" wrapText="1"/>
    </xf>
    <xf numFmtId="0" fontId="27" fillId="8" borderId="13" xfId="0" applyFont="1" applyFill="1" applyBorder="1" applyAlignment="1">
      <alignment horizontal="center" vertical="center" wrapText="1"/>
    </xf>
    <xf numFmtId="0" fontId="29" fillId="10" borderId="37" xfId="0" applyFont="1" applyFill="1" applyBorder="1" applyAlignment="1">
      <alignment horizontal="justify" vertical="center" wrapText="1"/>
    </xf>
    <xf numFmtId="0" fontId="29" fillId="10" borderId="51" xfId="0" applyFont="1" applyFill="1" applyBorder="1" applyAlignment="1">
      <alignment horizontal="justify" vertical="center" wrapText="1"/>
    </xf>
    <xf numFmtId="0" fontId="27" fillId="11" borderId="55" xfId="0" applyFont="1" applyFill="1" applyBorder="1" applyAlignment="1">
      <alignment horizontal="left" vertical="center"/>
    </xf>
    <xf numFmtId="0" fontId="27" fillId="11" borderId="36" xfId="0" applyFont="1" applyFill="1" applyBorder="1" applyAlignment="1">
      <alignment horizontal="left" vertical="center"/>
    </xf>
    <xf numFmtId="0" fontId="27" fillId="11" borderId="55" xfId="0" applyFont="1" applyFill="1" applyBorder="1" applyAlignment="1">
      <alignment horizontal="center" vertical="center"/>
    </xf>
    <xf numFmtId="0" fontId="27" fillId="11" borderId="36" xfId="0" applyFont="1" applyFill="1" applyBorder="1" applyAlignment="1">
      <alignment horizontal="center" vertical="center"/>
    </xf>
    <xf numFmtId="0" fontId="27" fillId="11" borderId="55" xfId="0" applyFont="1" applyFill="1" applyBorder="1" applyAlignment="1">
      <alignment horizontal="right" vertical="center"/>
    </xf>
    <xf numFmtId="0" fontId="27" fillId="11" borderId="36" xfId="0" applyFont="1" applyFill="1" applyBorder="1" applyAlignment="1">
      <alignment horizontal="right" vertical="center"/>
    </xf>
    <xf numFmtId="0" fontId="27" fillId="4" borderId="14" xfId="0" applyFont="1" applyFill="1" applyBorder="1" applyAlignment="1">
      <alignment horizontal="left" vertical="center"/>
    </xf>
    <xf numFmtId="0" fontId="27" fillId="4" borderId="9" xfId="0" applyFont="1" applyFill="1" applyBorder="1" applyAlignment="1">
      <alignment horizontal="left" vertical="center"/>
    </xf>
    <xf numFmtId="0" fontId="27" fillId="4" borderId="22" xfId="0" applyFont="1" applyFill="1" applyBorder="1" applyAlignment="1">
      <alignment horizontal="left" vertical="center"/>
    </xf>
    <xf numFmtId="0" fontId="29" fillId="10" borderId="41" xfId="0" applyFont="1" applyFill="1" applyBorder="1" applyAlignment="1">
      <alignment horizontal="left" vertical="center" wrapText="1"/>
    </xf>
    <xf numFmtId="0" fontId="29" fillId="10" borderId="60" xfId="0" applyFont="1" applyFill="1" applyBorder="1" applyAlignment="1">
      <alignment horizontal="left" vertical="center" wrapText="1"/>
    </xf>
    <xf numFmtId="0" fontId="29" fillId="10" borderId="57" xfId="0" applyFont="1" applyFill="1" applyBorder="1" applyAlignment="1">
      <alignment horizontal="left" vertical="center"/>
    </xf>
    <xf numFmtId="0" fontId="29" fillId="10" borderId="58" xfId="0" applyFont="1" applyFill="1" applyBorder="1" applyAlignment="1">
      <alignment horizontal="left" vertical="center"/>
    </xf>
    <xf numFmtId="0" fontId="27" fillId="9" borderId="59" xfId="0" applyFont="1" applyFill="1" applyBorder="1" applyAlignment="1">
      <alignment horizontal="left" vertical="center"/>
    </xf>
    <xf numFmtId="0" fontId="27" fillId="9" borderId="36" xfId="0" applyFont="1" applyFill="1" applyBorder="1" applyAlignment="1">
      <alignment horizontal="left" vertical="center"/>
    </xf>
    <xf numFmtId="0" fontId="27" fillId="9" borderId="59" xfId="0" applyFont="1" applyFill="1" applyBorder="1" applyAlignment="1">
      <alignment horizontal="center" vertical="center"/>
    </xf>
    <xf numFmtId="0" fontId="27" fillId="9" borderId="36" xfId="0" applyFont="1" applyFill="1" applyBorder="1" applyAlignment="1">
      <alignment horizontal="center" vertical="center"/>
    </xf>
    <xf numFmtId="0" fontId="27" fillId="9" borderId="59" xfId="0" applyFont="1" applyFill="1" applyBorder="1" applyAlignment="1">
      <alignment horizontal="right" vertical="center"/>
    </xf>
    <xf numFmtId="0" fontId="27" fillId="9" borderId="36" xfId="0" applyFont="1" applyFill="1" applyBorder="1" applyAlignment="1">
      <alignment horizontal="right" vertical="center"/>
    </xf>
    <xf numFmtId="0" fontId="29" fillId="10" borderId="37" xfId="0" applyFont="1" applyFill="1" applyBorder="1" applyAlignment="1">
      <alignment horizontal="left" vertical="center"/>
    </xf>
    <xf numFmtId="0" fontId="29" fillId="10" borderId="51" xfId="0" applyFont="1" applyFill="1" applyBorder="1" applyAlignment="1">
      <alignment horizontal="left" vertical="center"/>
    </xf>
    <xf numFmtId="0" fontId="29" fillId="0" borderId="35" xfId="0" applyFont="1" applyFill="1" applyBorder="1" applyAlignment="1">
      <alignment horizontal="left" vertical="center"/>
    </xf>
    <xf numFmtId="0" fontId="29" fillId="0" borderId="48" xfId="0" applyFont="1" applyFill="1" applyBorder="1" applyAlignment="1">
      <alignment horizontal="left" vertical="center"/>
    </xf>
    <xf numFmtId="3" fontId="23" fillId="9" borderId="8" xfId="5" quotePrefix="1" applyNumberFormat="1" applyFont="1" applyFill="1" applyBorder="1" applyAlignment="1">
      <alignment horizontal="center"/>
    </xf>
    <xf numFmtId="3" fontId="23" fillId="9" borderId="13" xfId="5" quotePrefix="1" applyNumberFormat="1" applyFont="1" applyFill="1" applyBorder="1" applyAlignment="1">
      <alignment horizontal="center"/>
    </xf>
    <xf numFmtId="0" fontId="56" fillId="0" borderId="0" xfId="0" applyFont="1" applyAlignment="1">
      <alignment vertical="center" wrapText="1"/>
    </xf>
    <xf numFmtId="0" fontId="27" fillId="11" borderId="8" xfId="0" applyFont="1" applyFill="1" applyBorder="1" applyAlignment="1">
      <alignment vertical="center"/>
    </xf>
    <xf numFmtId="0" fontId="27" fillId="11" borderId="7" xfId="0" applyFont="1" applyFill="1" applyBorder="1" applyAlignment="1">
      <alignment vertical="center"/>
    </xf>
    <xf numFmtId="0" fontId="27" fillId="11" borderId="23" xfId="0" applyFont="1" applyFill="1" applyBorder="1" applyAlignment="1">
      <alignment vertical="center"/>
    </xf>
    <xf numFmtId="0" fontId="29" fillId="9" borderId="52" xfId="0" applyFont="1" applyFill="1" applyBorder="1" applyAlignment="1">
      <alignment vertical="center"/>
    </xf>
    <xf numFmtId="0" fontId="29" fillId="9" borderId="53" xfId="0" applyFont="1" applyFill="1" applyBorder="1" applyAlignment="1">
      <alignment vertical="center"/>
    </xf>
    <xf numFmtId="0" fontId="29" fillId="9" borderId="54" xfId="0" applyFont="1" applyFill="1" applyBorder="1" applyAlignment="1">
      <alignment vertical="center"/>
    </xf>
    <xf numFmtId="0" fontId="29" fillId="9" borderId="32" xfId="0" applyFont="1" applyFill="1" applyBorder="1" applyAlignment="1">
      <alignment vertical="center"/>
    </xf>
    <xf numFmtId="0" fontId="29" fillId="9" borderId="33" xfId="0" applyFont="1" applyFill="1" applyBorder="1" applyAlignment="1">
      <alignment vertical="center"/>
    </xf>
    <xf numFmtId="0" fontId="29" fillId="9" borderId="56" xfId="0" applyFont="1" applyFill="1" applyBorder="1" applyAlignment="1">
      <alignment vertical="center"/>
    </xf>
    <xf numFmtId="0" fontId="27" fillId="9" borderId="35" xfId="0" applyFont="1" applyFill="1" applyBorder="1" applyAlignment="1">
      <alignment vertical="center"/>
    </xf>
    <xf numFmtId="0" fontId="27" fillId="9" borderId="30" xfId="0" applyFont="1" applyFill="1" applyBorder="1" applyAlignment="1">
      <alignment vertical="center"/>
    </xf>
    <xf numFmtId="0" fontId="27" fillId="9" borderId="47" xfId="0" applyFont="1" applyFill="1" applyBorder="1" applyAlignment="1">
      <alignment vertical="center"/>
    </xf>
    <xf numFmtId="0" fontId="27" fillId="9" borderId="52" xfId="0" applyFont="1" applyFill="1" applyBorder="1" applyAlignment="1">
      <alignment vertical="center" wrapText="1"/>
    </xf>
    <xf numFmtId="0" fontId="27" fillId="9" borderId="53" xfId="0" applyFont="1" applyFill="1" applyBorder="1" applyAlignment="1">
      <alignment vertical="center" wrapText="1"/>
    </xf>
    <xf numFmtId="0" fontId="27" fillId="9" borderId="54" xfId="0" applyFont="1" applyFill="1" applyBorder="1" applyAlignment="1">
      <alignment vertical="center" wrapText="1"/>
    </xf>
    <xf numFmtId="0" fontId="27" fillId="9" borderId="35" xfId="0" applyFont="1" applyFill="1" applyBorder="1" applyAlignment="1">
      <alignment vertical="center" wrapText="1"/>
    </xf>
    <xf numFmtId="0" fontId="27" fillId="9" borderId="30" xfId="0" applyFont="1" applyFill="1" applyBorder="1" applyAlignment="1">
      <alignment vertical="center" wrapText="1"/>
    </xf>
    <xf numFmtId="0" fontId="27" fillId="9" borderId="47" xfId="0" applyFont="1" applyFill="1" applyBorder="1" applyAlignment="1">
      <alignment vertical="center" wrapText="1"/>
    </xf>
    <xf numFmtId="2" fontId="57" fillId="0" borderId="43" xfId="0" applyNumberFormat="1" applyFont="1" applyBorder="1"/>
    <xf numFmtId="1" fontId="30" fillId="0" borderId="0" xfId="0" applyNumberFormat="1" applyFont="1" applyAlignment="1">
      <alignment wrapText="1"/>
    </xf>
    <xf numFmtId="1" fontId="57" fillId="0" borderId="43" xfId="0" applyNumberFormat="1" applyFont="1" applyBorder="1"/>
    <xf numFmtId="1" fontId="30" fillId="0" borderId="0" xfId="0" applyNumberFormat="1" applyFont="1"/>
    <xf numFmtId="1" fontId="57" fillId="0" borderId="45" xfId="0" applyNumberFormat="1" applyFont="1" applyBorder="1"/>
    <xf numFmtId="2" fontId="57" fillId="0" borderId="44" xfId="0" applyNumberFormat="1" applyFont="1" applyBorder="1"/>
    <xf numFmtId="2" fontId="54" fillId="0" borderId="33" xfId="0" applyNumberFormat="1" applyFont="1" applyBorder="1"/>
    <xf numFmtId="2" fontId="52" fillId="0" borderId="30" xfId="5" applyNumberFormat="1" applyFont="1" applyFill="1" applyBorder="1"/>
    <xf numFmtId="2" fontId="52" fillId="0" borderId="31" xfId="5" applyNumberFormat="1" applyFont="1" applyFill="1" applyBorder="1"/>
    <xf numFmtId="2" fontId="58" fillId="0" borderId="29" xfId="5" applyNumberFormat="1" applyFont="1" applyFill="1" applyBorder="1"/>
    <xf numFmtId="2" fontId="54" fillId="0" borderId="0" xfId="0" applyNumberFormat="1" applyFont="1"/>
    <xf numFmtId="0" fontId="52" fillId="0" borderId="30" xfId="5" applyFont="1" applyFill="1" applyBorder="1" applyAlignment="1">
      <alignment horizontal="left" indent="1"/>
    </xf>
    <xf numFmtId="0" fontId="52" fillId="0" borderId="31" xfId="5" applyFont="1" applyFill="1" applyBorder="1" applyAlignment="1">
      <alignment horizontal="left" indent="1"/>
    </xf>
    <xf numFmtId="0" fontId="0" fillId="0" borderId="0" xfId="0" applyAlignment="1">
      <alignment vertical="center" wrapText="1"/>
    </xf>
    <xf numFmtId="2" fontId="52" fillId="0" borderId="0" xfId="5" applyNumberFormat="1" applyFont="1" applyFill="1"/>
    <xf numFmtId="2" fontId="0" fillId="0" borderId="0" xfId="0" applyNumberFormat="1" applyAlignment="1">
      <alignment vertical="center" wrapText="1"/>
    </xf>
  </cellXfs>
  <cellStyles count="56">
    <cellStyle name="Comma" xfId="1" builtinId="3"/>
    <cellStyle name="Comma 0" xfId="10" xr:uid="{00000000-0005-0000-0000-000001000000}"/>
    <cellStyle name="Comma 0*" xfId="11" xr:uid="{00000000-0005-0000-0000-000002000000}"/>
    <cellStyle name="Comma 10" xfId="8" xr:uid="{00000000-0005-0000-0000-000003000000}"/>
    <cellStyle name="Comma 11" xfId="12" xr:uid="{00000000-0005-0000-0000-000004000000}"/>
    <cellStyle name="Comma 12" xfId="51" xr:uid="{00000000-0005-0000-0000-000005000000}"/>
    <cellStyle name="Comma 2" xfId="2" xr:uid="{00000000-0005-0000-0000-000006000000}"/>
    <cellStyle name="Comma 2 2" xfId="13" xr:uid="{00000000-0005-0000-0000-000007000000}"/>
    <cellStyle name="Comma 2*" xfId="14" xr:uid="{00000000-0005-0000-0000-000008000000}"/>
    <cellStyle name="Comma 2_YouGov 280509" xfId="15" xr:uid="{00000000-0005-0000-0000-000009000000}"/>
    <cellStyle name="Comma 3" xfId="3" xr:uid="{00000000-0005-0000-0000-00000A000000}"/>
    <cellStyle name="Comma 3*" xfId="16" xr:uid="{00000000-0005-0000-0000-00000B000000}"/>
    <cellStyle name="Comma 4" xfId="17" xr:uid="{00000000-0005-0000-0000-00000C000000}"/>
    <cellStyle name="Comma 5" xfId="18" xr:uid="{00000000-0005-0000-0000-00000D000000}"/>
    <cellStyle name="Comma 6" xfId="19" xr:uid="{00000000-0005-0000-0000-00000E000000}"/>
    <cellStyle name="Comma 7" xfId="20" xr:uid="{00000000-0005-0000-0000-00000F000000}"/>
    <cellStyle name="Comma 8" xfId="21" xr:uid="{00000000-0005-0000-0000-000010000000}"/>
    <cellStyle name="Comma 9" xfId="22" xr:uid="{00000000-0005-0000-0000-000011000000}"/>
    <cellStyle name="Comma*" xfId="23" xr:uid="{00000000-0005-0000-0000-000012000000}"/>
    <cellStyle name="Currency 0" xfId="24" xr:uid="{00000000-0005-0000-0000-000013000000}"/>
    <cellStyle name="Currency 2" xfId="25" xr:uid="{00000000-0005-0000-0000-000014000000}"/>
    <cellStyle name="Currency 2*" xfId="26" xr:uid="{00000000-0005-0000-0000-000015000000}"/>
    <cellStyle name="Currency 3*" xfId="27" xr:uid="{00000000-0005-0000-0000-000016000000}"/>
    <cellStyle name="Currency*" xfId="28" xr:uid="{00000000-0005-0000-0000-000017000000}"/>
    <cellStyle name="Date Aligned" xfId="29" xr:uid="{00000000-0005-0000-0000-000018000000}"/>
    <cellStyle name="Date Aligned*" xfId="30" xr:uid="{00000000-0005-0000-0000-000019000000}"/>
    <cellStyle name="Dotted Line" xfId="31" xr:uid="{00000000-0005-0000-0000-00001A000000}"/>
    <cellStyle name="Euro" xfId="4" xr:uid="{00000000-0005-0000-0000-00001B000000}"/>
    <cellStyle name="Euro 2" xfId="32" xr:uid="{00000000-0005-0000-0000-00001C000000}"/>
    <cellStyle name="Followed Hyperlink" xfId="53" builtinId="9" hidden="1"/>
    <cellStyle name="Followed Hyperlink" xfId="55" builtinId="9" hidden="1"/>
    <cellStyle name="Footnote" xfId="33" xr:uid="{00000000-0005-0000-0000-00001F000000}"/>
    <cellStyle name="Hard Percent" xfId="34" xr:uid="{00000000-0005-0000-0000-000020000000}"/>
    <cellStyle name="Header" xfId="35" xr:uid="{00000000-0005-0000-0000-000021000000}"/>
    <cellStyle name="Hyperlink" xfId="52" builtinId="8" hidden="1"/>
    <cellStyle name="Hyperlink" xfId="54" builtinId="8" hidden="1"/>
    <cellStyle name="Multiple" xfId="36" xr:uid="{00000000-0005-0000-0000-000024000000}"/>
    <cellStyle name="MultipleBelow" xfId="37" xr:uid="{00000000-0005-0000-0000-000025000000}"/>
    <cellStyle name="Normal" xfId="0" builtinId="0"/>
    <cellStyle name="Normal 2" xfId="5" xr:uid="{00000000-0005-0000-0000-000027000000}"/>
    <cellStyle name="Normal 2 2" xfId="38" xr:uid="{00000000-0005-0000-0000-000028000000}"/>
    <cellStyle name="Normal 3" xfId="39" xr:uid="{00000000-0005-0000-0000-000029000000}"/>
    <cellStyle name="Normal 4" xfId="40" xr:uid="{00000000-0005-0000-0000-00002A000000}"/>
    <cellStyle name="Note 2" xfId="41" xr:uid="{00000000-0005-0000-0000-00002B000000}"/>
    <cellStyle name="Page Number" xfId="42" xr:uid="{00000000-0005-0000-0000-00002C000000}"/>
    <cellStyle name="Percent" xfId="50" builtinId="5"/>
    <cellStyle name="Percent 2" xfId="6" xr:uid="{00000000-0005-0000-0000-00002E000000}"/>
    <cellStyle name="Percent 3" xfId="7" xr:uid="{00000000-0005-0000-0000-00002F000000}"/>
    <cellStyle name="Percent 4" xfId="9" xr:uid="{00000000-0005-0000-0000-000030000000}"/>
    <cellStyle name="Percent*" xfId="43" xr:uid="{00000000-0005-0000-0000-000031000000}"/>
    <cellStyle name="Table Head" xfId="44" xr:uid="{00000000-0005-0000-0000-000032000000}"/>
    <cellStyle name="Table Head Aligned" xfId="45" xr:uid="{00000000-0005-0000-0000-000033000000}"/>
    <cellStyle name="Table Head Blue" xfId="46" xr:uid="{00000000-0005-0000-0000-000034000000}"/>
    <cellStyle name="Table Head Green" xfId="47" xr:uid="{00000000-0005-0000-0000-000035000000}"/>
    <cellStyle name="Table Title" xfId="48" xr:uid="{00000000-0005-0000-0000-000036000000}"/>
    <cellStyle name="Table Units" xfId="49" xr:uid="{00000000-0005-0000-0000-00003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Brian\Local%20Settings\Temporary%20Internet%20Files\OLK1\05%2002%2004%202005ConsolProjec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Finance\Board%20Reports\04%2012%2017%202005ConsolProjec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onsolP&amp;L"/>
      <sheetName val="BradyP&amp;L"/>
      <sheetName val="Brady Revenue"/>
      <sheetName val="ColplanP&amp;L"/>
      <sheetName val="ColplanRevenue"/>
      <sheetName val="BradyScenarios"/>
      <sheetName val="ColplanScenarios"/>
      <sheetName val="Expenses Summary"/>
      <sheetName val="Brady Expenses"/>
      <sheetName val="Colplan Expense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>
            <v>38368</v>
          </cell>
          <cell r="C1">
            <v>38398</v>
          </cell>
          <cell r="D1">
            <v>38428</v>
          </cell>
          <cell r="E1">
            <v>38458</v>
          </cell>
          <cell r="F1">
            <v>38488</v>
          </cell>
          <cell r="G1">
            <v>38518</v>
          </cell>
          <cell r="H1">
            <v>38548</v>
          </cell>
          <cell r="I1">
            <v>38578</v>
          </cell>
          <cell r="J1">
            <v>38608</v>
          </cell>
          <cell r="K1">
            <v>38638</v>
          </cell>
          <cell r="L1">
            <v>38668</v>
          </cell>
          <cell r="M1">
            <v>38698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onsolP&amp;L"/>
      <sheetName val="BradyP&amp;L"/>
      <sheetName val="Brady Revenue"/>
      <sheetName val="ColplanP&amp;L"/>
      <sheetName val="ColplanRevenue"/>
      <sheetName val="BradyScenarios"/>
      <sheetName val="ColplanScenarios"/>
      <sheetName val="Expenses Summary"/>
      <sheetName val="Brady Expenses"/>
      <sheetName val="Colplan Expenses"/>
    </sheetNames>
    <sheetDataSet>
      <sheetData sheetId="0">
        <row r="43">
          <cell r="B43" t="str">
            <v>High Scenario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A50"/>
  <sheetViews>
    <sheetView showGridLines="0" tabSelected="1" zoomScale="80" zoomScaleNormal="80" zoomScalePageLayoutView="80" workbookViewId="0">
      <selection activeCell="D22" sqref="D22:D24"/>
    </sheetView>
  </sheetViews>
  <sheetFormatPr defaultColWidth="8.77734375" defaultRowHeight="14.4"/>
  <cols>
    <col min="1" max="1" width="29.6640625" style="106" customWidth="1"/>
    <col min="2" max="2" width="18.44140625" style="88" customWidth="1"/>
    <col min="3" max="3" width="27" style="88" customWidth="1"/>
    <col min="4" max="6" width="23.21875" style="111" customWidth="1"/>
    <col min="7" max="7" width="25.6640625" style="88" customWidth="1"/>
    <col min="8" max="8" width="23.6640625" style="88" customWidth="1"/>
    <col min="9" max="9" width="15.44140625" style="88" bestFit="1" customWidth="1"/>
    <col min="10" max="10" width="15.77734375" style="88" bestFit="1" customWidth="1"/>
    <col min="11" max="11" width="11.77734375" style="88" customWidth="1"/>
    <col min="12" max="16384" width="8.77734375" style="88"/>
  </cols>
  <sheetData>
    <row r="1" spans="1:27" ht="21">
      <c r="A1" s="21" t="s">
        <v>252</v>
      </c>
      <c r="B1" s="89"/>
      <c r="C1" s="89"/>
      <c r="D1" s="90"/>
      <c r="E1" s="90"/>
      <c r="F1" s="90"/>
    </row>
    <row r="2" spans="1:27" ht="21">
      <c r="A2" s="91" t="s">
        <v>42</v>
      </c>
      <c r="B2" s="89"/>
      <c r="C2" s="89"/>
      <c r="D2" s="90"/>
      <c r="E2" s="90"/>
      <c r="F2" s="90"/>
    </row>
    <row r="3" spans="1:27" ht="14.25" customHeight="1" thickBot="1">
      <c r="A3" s="91"/>
      <c r="B3" s="89"/>
      <c r="C3" s="89"/>
      <c r="D3" s="90"/>
      <c r="E3" s="90"/>
      <c r="F3" s="90"/>
      <c r="I3" s="92"/>
    </row>
    <row r="4" spans="1:27" ht="21.6" thickBot="1">
      <c r="A4" s="135" t="s">
        <v>41</v>
      </c>
      <c r="B4" s="136"/>
      <c r="C4" s="137"/>
      <c r="D4" s="138" t="s">
        <v>248</v>
      </c>
      <c r="E4" s="138" t="s">
        <v>249</v>
      </c>
      <c r="F4" s="138" t="s">
        <v>207</v>
      </c>
    </row>
    <row r="5" spans="1:27" ht="21">
      <c r="A5" s="93" t="s">
        <v>197</v>
      </c>
      <c r="B5" s="94"/>
      <c r="C5" s="94"/>
      <c r="D5" s="95">
        <v>8.1300000000000008</v>
      </c>
      <c r="E5" s="95">
        <v>8</v>
      </c>
      <c r="F5" s="95">
        <v>8.26</v>
      </c>
      <c r="K5" s="96"/>
    </row>
    <row r="6" spans="1:27" ht="21">
      <c r="A6" s="154" t="s">
        <v>0</v>
      </c>
      <c r="B6" s="155"/>
      <c r="C6" s="155"/>
      <c r="D6" s="156">
        <v>6760.2024862238623</v>
      </c>
      <c r="E6" s="156">
        <v>6000</v>
      </c>
      <c r="F6" s="156">
        <v>6731.0780962469744</v>
      </c>
      <c r="K6" s="96"/>
    </row>
    <row r="7" spans="1:27" s="96" customFormat="1" ht="21">
      <c r="A7" s="158" t="s">
        <v>40</v>
      </c>
      <c r="B7" s="157"/>
      <c r="C7" s="157"/>
      <c r="D7" s="159">
        <v>5588.8718327183269</v>
      </c>
      <c r="E7" s="159">
        <v>6000</v>
      </c>
      <c r="F7" s="159">
        <v>5540.5943637341943</v>
      </c>
      <c r="G7" s="88"/>
      <c r="H7" s="88"/>
      <c r="I7" s="88"/>
      <c r="J7" s="88"/>
    </row>
    <row r="8" spans="1:27" s="96" customFormat="1" ht="21">
      <c r="A8" s="160" t="s">
        <v>39</v>
      </c>
      <c r="B8" s="161"/>
      <c r="C8" s="161"/>
      <c r="D8" s="162">
        <v>8</v>
      </c>
      <c r="E8" s="162">
        <v>0</v>
      </c>
      <c r="F8" s="162">
        <v>6</v>
      </c>
      <c r="G8" s="88"/>
      <c r="H8" s="88"/>
      <c r="I8" s="88"/>
      <c r="J8" s="88"/>
    </row>
    <row r="9" spans="1:27" s="96" customFormat="1" ht="21" customHeight="1">
      <c r="A9" s="97"/>
      <c r="B9" s="94"/>
      <c r="C9" s="94"/>
      <c r="D9" s="98"/>
      <c r="E9" s="98"/>
      <c r="F9" s="98"/>
      <c r="G9" s="88"/>
      <c r="H9" s="88"/>
      <c r="I9" s="88"/>
      <c r="J9" s="88"/>
    </row>
    <row r="10" spans="1:27" ht="21" customHeight="1">
      <c r="A10" s="99" t="s">
        <v>34</v>
      </c>
      <c r="B10" s="94"/>
      <c r="C10" s="94"/>
      <c r="D10" s="100">
        <f>+D6-D7+D8</f>
        <v>1179.3306535055353</v>
      </c>
      <c r="E10" s="100">
        <f>+E6-E7+E8</f>
        <v>0</v>
      </c>
      <c r="F10" s="100">
        <v>1196.4837325127801</v>
      </c>
    </row>
    <row r="11" spans="1:27" ht="21" customHeight="1">
      <c r="A11" s="99"/>
      <c r="B11" s="94"/>
      <c r="C11" s="94"/>
      <c r="D11" s="100"/>
      <c r="E11" s="100"/>
      <c r="F11" s="100"/>
    </row>
    <row r="12" spans="1:27" ht="21" customHeight="1">
      <c r="A12" s="101" t="s">
        <v>38</v>
      </c>
      <c r="B12" s="94"/>
      <c r="C12" s="94"/>
      <c r="D12" s="95">
        <v>8.69</v>
      </c>
      <c r="E12" s="95">
        <v>8</v>
      </c>
      <c r="F12" s="95">
        <v>8.2100000000000009</v>
      </c>
    </row>
    <row r="13" spans="1:27" ht="21" customHeight="1">
      <c r="A13" s="163" t="s">
        <v>204</v>
      </c>
      <c r="B13" s="164"/>
      <c r="C13" s="165" t="s">
        <v>2</v>
      </c>
      <c r="D13" s="166">
        <v>1799.4837325127801</v>
      </c>
      <c r="E13" s="166">
        <v>1799</v>
      </c>
      <c r="F13" s="166">
        <v>566</v>
      </c>
    </row>
    <row r="14" spans="1:27" ht="21" customHeight="1">
      <c r="A14" s="167" t="s">
        <v>67</v>
      </c>
      <c r="B14" s="168"/>
      <c r="C14" s="169" t="s">
        <v>37</v>
      </c>
      <c r="D14" s="170">
        <v>2801.8143860183154</v>
      </c>
      <c r="E14" s="170">
        <v>1799</v>
      </c>
      <c r="F14" s="170">
        <v>1799</v>
      </c>
      <c r="H14" s="96"/>
      <c r="AA14" s="102"/>
    </row>
    <row r="15" spans="1:27" ht="21">
      <c r="A15" s="103"/>
      <c r="B15" s="94"/>
      <c r="C15" s="94"/>
      <c r="D15" s="104"/>
      <c r="E15" s="104"/>
      <c r="F15" s="104"/>
      <c r="H15" s="96"/>
    </row>
    <row r="16" spans="1:27" s="96" customFormat="1" ht="21">
      <c r="A16" s="171" t="s">
        <v>68</v>
      </c>
      <c r="B16" s="172"/>
      <c r="C16" s="172"/>
      <c r="D16" s="173">
        <v>3495.3113924050631</v>
      </c>
      <c r="E16" s="173">
        <v>2500</v>
      </c>
      <c r="F16" s="173">
        <v>3197</v>
      </c>
      <c r="G16" s="88"/>
    </row>
    <row r="17" spans="1:11" ht="21.6" thickBot="1">
      <c r="A17" s="174" t="s">
        <v>97</v>
      </c>
      <c r="B17" s="175"/>
      <c r="C17" s="175"/>
      <c r="D17" s="176">
        <v>552.35903337169168</v>
      </c>
      <c r="E17" s="176">
        <v>600</v>
      </c>
      <c r="F17" s="176">
        <v>585</v>
      </c>
      <c r="G17" s="105"/>
      <c r="H17" s="96"/>
    </row>
    <row r="18" spans="1:11">
      <c r="B18" s="107"/>
      <c r="C18" s="107"/>
      <c r="D18" s="107"/>
      <c r="E18" s="107"/>
      <c r="F18" s="107"/>
      <c r="H18" s="96"/>
    </row>
    <row r="19" spans="1:11" ht="18">
      <c r="A19" s="124"/>
      <c r="B19" s="107"/>
      <c r="C19" s="107"/>
      <c r="D19" s="107"/>
      <c r="E19" s="107"/>
      <c r="F19" s="107"/>
      <c r="G19" s="108" t="s">
        <v>2</v>
      </c>
      <c r="H19" s="96"/>
    </row>
    <row r="20" spans="1:11" ht="18">
      <c r="B20" s="109"/>
      <c r="C20" s="109"/>
      <c r="D20" s="109"/>
      <c r="E20" s="109"/>
      <c r="F20" s="109"/>
      <c r="G20" s="110" t="s">
        <v>2</v>
      </c>
      <c r="H20" s="96"/>
    </row>
    <row r="21" spans="1:11" s="111" customFormat="1" ht="24" thickBot="1">
      <c r="A21" s="132" t="s">
        <v>250</v>
      </c>
      <c r="B21" s="133"/>
      <c r="C21" s="134" t="s">
        <v>106</v>
      </c>
      <c r="D21" s="112"/>
      <c r="E21" s="112"/>
      <c r="F21" s="112"/>
      <c r="G21" s="115"/>
      <c r="H21" s="115"/>
      <c r="I21" s="115"/>
      <c r="J21" s="88"/>
      <c r="K21" s="88"/>
    </row>
    <row r="22" spans="1:11" s="111" customFormat="1" ht="24" thickTop="1">
      <c r="A22" s="258" t="s">
        <v>147</v>
      </c>
      <c r="B22" s="152"/>
      <c r="C22" s="333">
        <f>+Revenue_detail!D16</f>
        <v>119712.9655596556</v>
      </c>
      <c r="D22" s="340"/>
      <c r="E22" s="339"/>
      <c r="F22" s="339"/>
      <c r="G22" s="339"/>
      <c r="H22" s="339"/>
      <c r="I22" s="115"/>
      <c r="J22" s="88"/>
      <c r="K22" s="88"/>
    </row>
    <row r="23" spans="1:11" s="111" customFormat="1" ht="117">
      <c r="A23" s="259" t="s">
        <v>214</v>
      </c>
      <c r="B23" s="257"/>
      <c r="C23" s="332">
        <f>Revenue_detail!D37</f>
        <v>4782606.7260762602</v>
      </c>
      <c r="D23" s="340"/>
      <c r="E23" s="339"/>
      <c r="F23" s="341"/>
      <c r="G23" s="341"/>
      <c r="H23" s="341"/>
      <c r="I23" s="115"/>
      <c r="J23" s="88"/>
      <c r="K23" s="88"/>
    </row>
    <row r="24" spans="1:11" s="111" customFormat="1" ht="23.4">
      <c r="A24" s="151" t="s">
        <v>109</v>
      </c>
      <c r="B24" s="152"/>
      <c r="C24" s="333">
        <f>Revenue_detail!D41+Revenue_detail!D69+Revenue_detail!D83+Revenue_detail!D87</f>
        <v>1857646.2632226318</v>
      </c>
      <c r="D24" s="116"/>
      <c r="E24" s="339"/>
      <c r="F24" s="341"/>
      <c r="G24" s="341"/>
      <c r="H24" s="341"/>
      <c r="I24" s="115"/>
      <c r="J24" s="88"/>
      <c r="K24" s="88"/>
    </row>
    <row r="25" spans="1:11" s="111" customFormat="1" ht="23.4">
      <c r="A25" s="337" t="s">
        <v>228</v>
      </c>
      <c r="B25" s="151"/>
      <c r="C25" s="333">
        <f>+Revenue_detail!D41</f>
        <v>29423.862238622387</v>
      </c>
      <c r="D25" s="116"/>
      <c r="E25" s="339"/>
      <c r="F25" s="341"/>
      <c r="G25" s="341"/>
      <c r="H25" s="341"/>
      <c r="I25" s="115"/>
      <c r="J25" s="88"/>
      <c r="K25" s="88"/>
    </row>
    <row r="26" spans="1:11" s="111" customFormat="1" ht="23.4">
      <c r="A26" s="337" t="s">
        <v>181</v>
      </c>
      <c r="B26" s="151"/>
      <c r="C26" s="333">
        <f>Revenue_detail!D69</f>
        <v>1051768.4305043048</v>
      </c>
      <c r="D26" s="116"/>
      <c r="E26" s="339"/>
      <c r="F26" s="341"/>
      <c r="G26" s="341"/>
      <c r="H26" s="341"/>
      <c r="I26" s="115"/>
      <c r="J26" s="88"/>
      <c r="K26" s="88"/>
    </row>
    <row r="27" spans="1:11" s="111" customFormat="1" ht="23.4">
      <c r="A27" s="337" t="s">
        <v>183</v>
      </c>
      <c r="B27" s="152"/>
      <c r="C27" s="333">
        <f>Revenue_detail!D83</f>
        <v>706376.2337023369</v>
      </c>
      <c r="D27" s="116"/>
      <c r="E27" s="339"/>
      <c r="F27" s="341"/>
      <c r="G27" s="341"/>
      <c r="H27" s="341"/>
      <c r="I27" s="115"/>
      <c r="J27" s="88"/>
      <c r="K27" s="88"/>
    </row>
    <row r="28" spans="1:11" s="111" customFormat="1" ht="24" thickBot="1">
      <c r="A28" s="338" t="s">
        <v>80</v>
      </c>
      <c r="B28" s="153"/>
      <c r="C28" s="334">
        <f>Revenue_detail!D87</f>
        <v>70077.736777367769</v>
      </c>
      <c r="D28" s="116"/>
      <c r="E28" s="339"/>
      <c r="F28" s="341"/>
      <c r="G28" s="341"/>
      <c r="H28" s="341"/>
      <c r="I28" s="115"/>
      <c r="J28" s="88"/>
      <c r="K28" s="88"/>
    </row>
    <row r="29" spans="1:11" s="111" customFormat="1" ht="24" thickTop="1">
      <c r="A29" s="130" t="s">
        <v>1</v>
      </c>
      <c r="B29" s="131"/>
      <c r="C29" s="335">
        <f>SUM(C22:C24)</f>
        <v>6759965.954858548</v>
      </c>
      <c r="D29" s="112"/>
      <c r="E29" s="339"/>
      <c r="F29" s="341"/>
      <c r="G29" s="341"/>
      <c r="H29" s="341"/>
      <c r="I29" s="115"/>
      <c r="J29" s="88"/>
      <c r="K29" s="88"/>
    </row>
    <row r="30" spans="1:11" s="111" customFormat="1" ht="23.4">
      <c r="A30" s="117"/>
      <c r="B30" s="114"/>
      <c r="C30" s="336"/>
      <c r="D30" s="112"/>
      <c r="E30" s="339"/>
      <c r="F30" s="341"/>
      <c r="G30" s="341"/>
      <c r="H30" s="341"/>
      <c r="I30" s="115"/>
      <c r="J30" s="88"/>
      <c r="K30" s="88"/>
    </row>
    <row r="31" spans="1:11" s="111" customFormat="1" ht="23.4">
      <c r="A31" s="117"/>
      <c r="B31" s="114"/>
      <c r="C31" s="114"/>
      <c r="D31" s="112"/>
      <c r="E31" s="339"/>
      <c r="F31" s="341"/>
      <c r="G31" s="341"/>
      <c r="H31" s="341"/>
      <c r="I31" s="115"/>
      <c r="J31" s="88"/>
      <c r="K31" s="88"/>
    </row>
    <row r="32" spans="1:11" ht="23.4">
      <c r="A32" s="113" t="s">
        <v>198</v>
      </c>
      <c r="C32" s="115"/>
      <c r="D32" s="112"/>
      <c r="E32" s="112"/>
      <c r="F32" s="112"/>
      <c r="G32" s="115"/>
      <c r="H32" s="115"/>
      <c r="I32" s="115"/>
    </row>
    <row r="33" spans="1:15" ht="23.4">
      <c r="A33" s="113"/>
      <c r="B33" s="149"/>
      <c r="C33" s="115"/>
      <c r="D33" s="112"/>
      <c r="E33" s="112"/>
      <c r="F33" s="112"/>
      <c r="G33" s="115"/>
      <c r="H33" s="115"/>
      <c r="I33" s="115"/>
    </row>
    <row r="34" spans="1:15" ht="52.8" customHeight="1">
      <c r="A34" s="307" t="s">
        <v>184</v>
      </c>
      <c r="B34" s="149" t="s">
        <v>199</v>
      </c>
      <c r="C34" s="150"/>
      <c r="D34" s="150"/>
      <c r="E34" s="150"/>
      <c r="F34" s="150"/>
      <c r="G34" s="150"/>
      <c r="H34" s="150"/>
      <c r="I34" s="150"/>
      <c r="J34" s="150"/>
      <c r="K34" s="119"/>
      <c r="L34" s="115"/>
      <c r="M34" s="115"/>
      <c r="N34" s="115"/>
    </row>
    <row r="35" spans="1:15" s="123" customFormat="1" ht="94.2" thickBot="1">
      <c r="A35" s="123" t="s">
        <v>296</v>
      </c>
      <c r="B35" s="120" t="s">
        <v>185</v>
      </c>
      <c r="C35" s="120" t="s">
        <v>186</v>
      </c>
      <c r="D35" s="120" t="s">
        <v>187</v>
      </c>
      <c r="E35" s="120" t="s">
        <v>10</v>
      </c>
      <c r="F35" s="120" t="s">
        <v>188</v>
      </c>
      <c r="G35" s="120" t="s">
        <v>189</v>
      </c>
      <c r="H35" s="120" t="s">
        <v>190</v>
      </c>
      <c r="I35" s="120" t="s">
        <v>191</v>
      </c>
      <c r="J35" s="120" t="s">
        <v>33</v>
      </c>
      <c r="K35" s="120" t="s">
        <v>192</v>
      </c>
      <c r="L35" s="121" t="s">
        <v>1</v>
      </c>
      <c r="M35" s="122"/>
      <c r="N35" s="122"/>
      <c r="O35" s="122"/>
    </row>
    <row r="36" spans="1:15" s="123" customFormat="1" ht="24" thickTop="1">
      <c r="A36" s="327">
        <v>2018</v>
      </c>
      <c r="B36" s="328">
        <f>'Result Report USD'!C25</f>
        <v>1689.6749077490772</v>
      </c>
      <c r="C36" s="328">
        <f>'Result Report USD'!C26</f>
        <v>71.284870848708479</v>
      </c>
      <c r="D36" s="328">
        <f>'Result Report USD'!C27</f>
        <v>576.96974169741691</v>
      </c>
      <c r="E36" s="328">
        <f>'Result Report USD'!C28</f>
        <v>436.34415744157434</v>
      </c>
      <c r="F36" s="328">
        <f>'Result Report USD'!C29</f>
        <v>175.38044280442804</v>
      </c>
      <c r="G36" s="328">
        <f>'Result Report USD'!C30</f>
        <v>432.84686346863464</v>
      </c>
      <c r="H36" s="328">
        <f>'Result Report USD'!C31</f>
        <v>156.70135301353011</v>
      </c>
      <c r="I36" s="328">
        <f>'Result Report USD'!C32</f>
        <v>871.98991389913886</v>
      </c>
      <c r="J36" s="328" t="str">
        <f>'Result Report USD'!C33</f>
        <v xml:space="preserve"> </v>
      </c>
      <c r="K36" s="328">
        <f>'Result Report USD'!C34</f>
        <v>1177.679581795818</v>
      </c>
      <c r="L36" s="177">
        <f>SUM(B36:K36)</f>
        <v>5588.8718327183269</v>
      </c>
      <c r="M36" s="122"/>
      <c r="N36" s="122"/>
      <c r="O36" s="122"/>
    </row>
    <row r="37" spans="1:15" ht="23.4">
      <c r="A37" s="329">
        <v>2017</v>
      </c>
      <c r="B37" s="328">
        <v>1549.2036319612591</v>
      </c>
      <c r="C37" s="328">
        <v>62.588539144471348</v>
      </c>
      <c r="D37" s="328">
        <v>771.68365617433415</v>
      </c>
      <c r="E37" s="328">
        <v>431.83270110304011</v>
      </c>
      <c r="F37" s="328">
        <v>164.785593220339</v>
      </c>
      <c r="G37" s="328">
        <v>658.23995157384991</v>
      </c>
      <c r="H37" s="328">
        <v>140.58353510895884</v>
      </c>
      <c r="I37" s="328">
        <v>766.26307506053263</v>
      </c>
      <c r="J37" s="328">
        <v>0</v>
      </c>
      <c r="K37" s="328">
        <v>995.41368038740927</v>
      </c>
      <c r="L37" s="177">
        <f>SUM(B37:K37)</f>
        <v>5540.5943637341943</v>
      </c>
      <c r="M37" s="115"/>
      <c r="N37" s="115"/>
      <c r="O37" s="115"/>
    </row>
    <row r="38" spans="1:15" ht="23.4">
      <c r="A38" s="329">
        <v>2016</v>
      </c>
      <c r="B38" s="328">
        <v>1225</v>
      </c>
      <c r="C38" s="328">
        <v>114.32404761904762</v>
      </c>
      <c r="D38" s="328">
        <v>518.22154761904756</v>
      </c>
      <c r="E38" s="328">
        <v>600.06416666666678</v>
      </c>
      <c r="F38" s="328">
        <v>164.40059523809524</v>
      </c>
      <c r="G38" s="328">
        <v>352.35785714285714</v>
      </c>
      <c r="H38" s="328">
        <v>117.27380952380953</v>
      </c>
      <c r="I38" s="328">
        <v>685.48285714285714</v>
      </c>
      <c r="J38" s="328">
        <v>995.96547619047612</v>
      </c>
      <c r="K38" s="328">
        <v>506.20547619047613</v>
      </c>
      <c r="L38" s="177">
        <v>5277</v>
      </c>
      <c r="M38" s="115"/>
      <c r="N38" s="115"/>
      <c r="O38" s="115"/>
    </row>
    <row r="39" spans="1:15" ht="23.4">
      <c r="A39" s="329">
        <v>2015</v>
      </c>
      <c r="B39" s="330">
        <v>1602</v>
      </c>
      <c r="C39" s="330">
        <v>263</v>
      </c>
      <c r="D39" s="330">
        <v>959</v>
      </c>
      <c r="E39" s="330">
        <v>546</v>
      </c>
      <c r="F39" s="330">
        <v>33</v>
      </c>
      <c r="G39" s="330">
        <v>476</v>
      </c>
      <c r="H39" s="330">
        <v>219</v>
      </c>
      <c r="I39" s="330">
        <v>619</v>
      </c>
      <c r="J39" s="330">
        <v>124</v>
      </c>
      <c r="K39" s="330">
        <v>239</v>
      </c>
      <c r="L39" s="178">
        <v>5080</v>
      </c>
      <c r="M39" s="115"/>
      <c r="N39" s="115"/>
      <c r="O39" s="115"/>
    </row>
    <row r="40" spans="1:15">
      <c r="A40" s="8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</row>
    <row r="41" spans="1:15" ht="23.4">
      <c r="A41" s="88"/>
      <c r="B41" s="117"/>
      <c r="C41" s="115"/>
      <c r="D41" s="115"/>
      <c r="E41" s="112"/>
      <c r="F41" s="112"/>
      <c r="G41" s="112"/>
      <c r="H41" s="115"/>
      <c r="I41" s="115"/>
      <c r="J41" s="115"/>
    </row>
    <row r="42" spans="1:15" ht="23.4">
      <c r="A42" s="125" t="s">
        <v>193</v>
      </c>
      <c r="C42" s="149" t="s">
        <v>199</v>
      </c>
      <c r="D42" s="115"/>
      <c r="E42" s="115"/>
      <c r="F42" s="112"/>
      <c r="G42" s="112"/>
      <c r="H42" s="115"/>
      <c r="I42" s="115"/>
      <c r="J42" s="115"/>
    </row>
    <row r="43" spans="1:15" s="123" customFormat="1" ht="70.8" thickBot="1">
      <c r="A43" s="123" t="s">
        <v>296</v>
      </c>
      <c r="B43" s="126" t="s">
        <v>194</v>
      </c>
      <c r="C43" s="127" t="s">
        <v>195</v>
      </c>
      <c r="D43" s="128" t="s">
        <v>201</v>
      </c>
      <c r="E43" s="128" t="s">
        <v>202</v>
      </c>
      <c r="F43" s="129" t="s">
        <v>196</v>
      </c>
      <c r="G43" s="129" t="s">
        <v>49</v>
      </c>
      <c r="H43" s="129" t="s">
        <v>1</v>
      </c>
      <c r="I43" s="262"/>
      <c r="J43" s="262"/>
      <c r="K43" s="263"/>
      <c r="L43" s="263"/>
      <c r="M43" s="267"/>
    </row>
    <row r="44" spans="1:15" s="123" customFormat="1" ht="24" thickTop="1">
      <c r="A44" s="123">
        <v>2018</v>
      </c>
      <c r="B44" s="326">
        <f>'Result Report USD'!C38</f>
        <v>3114.6173431734319</v>
      </c>
      <c r="C44" s="326">
        <f>SUM('Result Report USD'!C39:C40)</f>
        <v>759.5653136531364</v>
      </c>
      <c r="D44" s="326">
        <f>'Result Report USD'!C41</f>
        <v>930.31574415744137</v>
      </c>
      <c r="E44" s="326">
        <f>'Result Report USD'!C42</f>
        <v>357.72423124231233</v>
      </c>
      <c r="F44" s="326">
        <f>'Result Report USD'!C43</f>
        <v>340.23333333333323</v>
      </c>
      <c r="G44" s="331">
        <f>'Result Report USD'!C44</f>
        <v>86.415867158671574</v>
      </c>
      <c r="H44" s="331">
        <f>SUM(B44:G44)</f>
        <v>5588.8718327183278</v>
      </c>
      <c r="I44" s="262"/>
      <c r="J44" s="262"/>
      <c r="K44" s="263"/>
      <c r="L44" s="263"/>
      <c r="M44" s="267"/>
    </row>
    <row r="45" spans="1:15" ht="23.4">
      <c r="A45" s="88">
        <v>2017</v>
      </c>
      <c r="B45" s="326">
        <v>2745.5840193704598</v>
      </c>
      <c r="C45" s="326">
        <v>624.01685499058374</v>
      </c>
      <c r="D45" s="326">
        <v>1370.2433010492332</v>
      </c>
      <c r="E45" s="326">
        <v>461.07101156846915</v>
      </c>
      <c r="F45" s="326">
        <v>287.27263922518159</v>
      </c>
      <c r="G45" s="331">
        <v>52.406537530266348</v>
      </c>
      <c r="H45" s="331">
        <f>SUM(B45:G45)</f>
        <v>5540.5943637341934</v>
      </c>
      <c r="I45" s="268"/>
      <c r="J45" s="268"/>
      <c r="K45" s="268"/>
      <c r="L45" s="268"/>
      <c r="M45" s="269"/>
      <c r="N45" s="115"/>
      <c r="O45" s="115"/>
    </row>
    <row r="46" spans="1:15" ht="23.4">
      <c r="A46" s="88">
        <v>2016</v>
      </c>
      <c r="B46" s="326">
        <v>2509.3971428571426</v>
      </c>
      <c r="C46" s="326">
        <v>516.68595238095236</v>
      </c>
      <c r="D46" s="326">
        <v>1406.6924999999997</v>
      </c>
      <c r="E46" s="326">
        <v>396.3538095238095</v>
      </c>
      <c r="F46" s="331">
        <v>365.52142857142854</v>
      </c>
      <c r="G46" s="331">
        <v>84.897142857142853</v>
      </c>
      <c r="H46" s="331">
        <f>SUM(B46:G46)</f>
        <v>5279.5479761904744</v>
      </c>
      <c r="I46" s="264"/>
      <c r="J46" s="264"/>
      <c r="K46" s="264"/>
      <c r="L46" s="264"/>
      <c r="M46" s="269"/>
      <c r="N46" s="115"/>
      <c r="O46" s="115"/>
    </row>
    <row r="47" spans="1:15" ht="23.4">
      <c r="A47" s="88">
        <v>2015</v>
      </c>
      <c r="B47" s="326">
        <v>2583</v>
      </c>
      <c r="C47" s="326">
        <v>440</v>
      </c>
      <c r="D47" s="326">
        <v>1092</v>
      </c>
      <c r="E47" s="326">
        <v>572</v>
      </c>
      <c r="F47" s="331">
        <v>392</v>
      </c>
      <c r="G47" s="331"/>
      <c r="H47" s="331">
        <f t="shared" ref="H47" si="0">SUM(B47:G47)</f>
        <v>5079</v>
      </c>
      <c r="I47" s="264"/>
      <c r="J47" s="264"/>
      <c r="K47" s="264"/>
      <c r="L47" s="264"/>
      <c r="M47" s="269"/>
      <c r="N47" s="115"/>
      <c r="O47" s="115"/>
    </row>
    <row r="48" spans="1:15">
      <c r="F48" s="265"/>
      <c r="G48" s="266"/>
      <c r="H48" s="266"/>
      <c r="I48" s="266"/>
      <c r="J48" s="266"/>
      <c r="K48" s="266"/>
      <c r="L48" s="270"/>
    </row>
    <row r="49" spans="6:11">
      <c r="F49" s="265"/>
      <c r="G49" s="266"/>
      <c r="H49" s="266"/>
      <c r="I49" s="266"/>
      <c r="J49" s="266"/>
      <c r="K49" s="266"/>
    </row>
    <row r="50" spans="6:11">
      <c r="F50" s="265"/>
      <c r="G50" s="266"/>
      <c r="H50" s="266"/>
      <c r="I50" s="266"/>
      <c r="J50" s="266"/>
      <c r="K50" s="266"/>
    </row>
  </sheetData>
  <sortState ref="F52:H55">
    <sortCondition descending="1" ref="F52"/>
  </sortState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W117"/>
  <sheetViews>
    <sheetView topLeftCell="A55" zoomScale="140" zoomScaleNormal="140" zoomScalePageLayoutView="140" workbookViewId="0">
      <selection activeCell="E1" sqref="A1:XFD1"/>
    </sheetView>
  </sheetViews>
  <sheetFormatPr defaultColWidth="8.77734375" defaultRowHeight="14.4"/>
  <cols>
    <col min="1" max="1" width="44.6640625" customWidth="1"/>
    <col min="2" max="2" width="14.77734375" customWidth="1"/>
    <col min="3" max="3" width="19" customWidth="1"/>
    <col min="4" max="4" width="20" customWidth="1"/>
    <col min="5" max="5" width="11.44140625" style="7" customWidth="1"/>
    <col min="6" max="6" width="9.77734375" style="7" bestFit="1" customWidth="1"/>
    <col min="7" max="7" width="13.33203125" style="7" customWidth="1"/>
    <col min="8" max="8" width="8.77734375" style="7"/>
    <col min="9" max="9" width="11" style="7" customWidth="1"/>
    <col min="10" max="11" width="8.77734375" style="7"/>
    <col min="12" max="12" width="12.77734375" style="7" bestFit="1" customWidth="1"/>
    <col min="13" max="16" width="8.77734375" style="7"/>
    <col min="17" max="17" width="45.44140625" style="7" customWidth="1"/>
    <col min="18" max="18" width="17" style="7" customWidth="1"/>
    <col min="19" max="19" width="12.77734375" style="7" bestFit="1" customWidth="1"/>
    <col min="20" max="20" width="11.44140625" style="7" customWidth="1"/>
    <col min="21" max="23" width="8.77734375" style="7"/>
  </cols>
  <sheetData>
    <row r="1" spans="1:23" ht="15" thickBot="1">
      <c r="A1" s="282" t="s">
        <v>69</v>
      </c>
      <c r="B1" s="284" t="s">
        <v>82</v>
      </c>
      <c r="C1" s="286" t="s">
        <v>71</v>
      </c>
      <c r="D1" s="286" t="s">
        <v>72</v>
      </c>
      <c r="Q1" s="273" t="s">
        <v>149</v>
      </c>
      <c r="R1" s="274"/>
      <c r="S1" s="274"/>
      <c r="T1" s="275"/>
    </row>
    <row r="2" spans="1:23" ht="15.75" customHeight="1">
      <c r="A2" s="283"/>
      <c r="B2" s="285"/>
      <c r="C2" s="287"/>
      <c r="D2" s="287"/>
      <c r="L2" s="56"/>
      <c r="Q2" s="288" t="s">
        <v>69</v>
      </c>
      <c r="R2" s="271" t="s">
        <v>82</v>
      </c>
      <c r="S2" s="271" t="s">
        <v>135</v>
      </c>
      <c r="T2" s="64"/>
    </row>
    <row r="3" spans="1:23" s="54" customFormat="1" ht="15.75" customHeight="1">
      <c r="A3" s="323" t="s">
        <v>147</v>
      </c>
      <c r="B3" s="324"/>
      <c r="C3" s="324"/>
      <c r="D3" s="325"/>
      <c r="E3" s="7"/>
      <c r="F3" s="7"/>
      <c r="G3" s="7"/>
      <c r="H3" s="7"/>
      <c r="I3" s="7"/>
      <c r="J3" s="7"/>
      <c r="K3" s="7"/>
      <c r="L3" s="56"/>
      <c r="M3" s="7"/>
      <c r="N3" s="7"/>
      <c r="O3" s="7"/>
      <c r="P3" s="7"/>
      <c r="Q3" s="289"/>
      <c r="R3" s="276"/>
      <c r="S3" s="276"/>
      <c r="T3" s="260"/>
      <c r="U3" s="7"/>
      <c r="V3" s="7"/>
      <c r="W3" s="7"/>
    </row>
    <row r="4" spans="1:23" s="54" customFormat="1" ht="15.75" customHeight="1">
      <c r="A4" s="194" t="s">
        <v>253</v>
      </c>
      <c r="B4" s="195" t="s">
        <v>111</v>
      </c>
      <c r="C4" s="196">
        <v>76894</v>
      </c>
      <c r="D4" s="196">
        <v>9458.0565805658043</v>
      </c>
      <c r="E4" s="7"/>
      <c r="F4" s="7"/>
      <c r="G4" s="7"/>
      <c r="H4" s="7"/>
      <c r="I4" s="7"/>
      <c r="J4" s="7"/>
      <c r="K4" s="7"/>
      <c r="L4" s="56"/>
      <c r="M4" s="7"/>
      <c r="N4" s="7"/>
      <c r="O4" s="7"/>
      <c r="P4" s="7"/>
      <c r="Q4" s="289"/>
      <c r="R4" s="276"/>
      <c r="S4" s="276"/>
      <c r="T4" s="260"/>
      <c r="U4" s="7"/>
      <c r="V4" s="7"/>
      <c r="W4" s="7"/>
    </row>
    <row r="5" spans="1:23" s="54" customFormat="1" ht="15.75" customHeight="1">
      <c r="A5" s="194" t="s">
        <v>254</v>
      </c>
      <c r="B5" s="195" t="s">
        <v>111</v>
      </c>
      <c r="C5" s="196">
        <v>82945</v>
      </c>
      <c r="D5" s="196">
        <v>10202.337023370234</v>
      </c>
      <c r="E5" s="7"/>
      <c r="F5" s="7"/>
      <c r="G5" s="7"/>
      <c r="H5" s="7"/>
      <c r="I5" s="7"/>
      <c r="J5" s="7"/>
      <c r="K5" s="7"/>
      <c r="L5" s="56"/>
      <c r="M5" s="7"/>
      <c r="N5" s="7"/>
      <c r="O5" s="7"/>
      <c r="P5" s="7"/>
      <c r="Q5" s="289"/>
      <c r="R5" s="276"/>
      <c r="S5" s="276"/>
      <c r="T5" s="260"/>
      <c r="U5" s="7"/>
      <c r="V5" s="7"/>
      <c r="W5" s="7"/>
    </row>
    <row r="6" spans="1:23" s="54" customFormat="1" ht="15.75" customHeight="1">
      <c r="A6" s="194" t="s">
        <v>243</v>
      </c>
      <c r="B6" s="195" t="s">
        <v>111</v>
      </c>
      <c r="C6" s="196">
        <v>76328</v>
      </c>
      <c r="D6" s="196">
        <v>9388.4378843788436</v>
      </c>
      <c r="E6" s="7"/>
      <c r="F6" s="7"/>
      <c r="G6" s="7"/>
      <c r="H6" s="7"/>
      <c r="I6" s="7"/>
      <c r="J6" s="7"/>
      <c r="K6" s="7"/>
      <c r="L6" s="56"/>
      <c r="M6" s="7"/>
      <c r="N6" s="7"/>
      <c r="O6" s="7"/>
      <c r="P6" s="7"/>
      <c r="Q6" s="289"/>
      <c r="R6" s="276"/>
      <c r="S6" s="276"/>
      <c r="T6" s="260"/>
      <c r="U6" s="7"/>
      <c r="V6" s="7"/>
      <c r="W6" s="7"/>
    </row>
    <row r="7" spans="1:23" s="54" customFormat="1" ht="15.75" customHeight="1">
      <c r="A7" s="194" t="s">
        <v>255</v>
      </c>
      <c r="B7" s="195" t="s">
        <v>111</v>
      </c>
      <c r="C7" s="196">
        <v>85599</v>
      </c>
      <c r="D7" s="196">
        <v>10528.782287822878</v>
      </c>
      <c r="E7" s="7"/>
      <c r="F7" s="7"/>
      <c r="G7" s="7"/>
      <c r="H7" s="7"/>
      <c r="I7" s="7"/>
      <c r="J7" s="7"/>
      <c r="K7" s="7"/>
      <c r="L7" s="56"/>
      <c r="M7" s="7"/>
      <c r="N7" s="7"/>
      <c r="O7" s="7"/>
      <c r="P7" s="7"/>
      <c r="Q7" s="289"/>
      <c r="R7" s="276"/>
      <c r="S7" s="276"/>
      <c r="T7" s="260"/>
      <c r="U7" s="7"/>
      <c r="V7" s="7"/>
      <c r="W7" s="7"/>
    </row>
    <row r="8" spans="1:23" s="54" customFormat="1" ht="15.75" customHeight="1">
      <c r="A8" s="194" t="s">
        <v>256</v>
      </c>
      <c r="B8" s="195" t="s">
        <v>111</v>
      </c>
      <c r="C8" s="196">
        <v>80425</v>
      </c>
      <c r="D8" s="196">
        <v>9892.3739237392365</v>
      </c>
      <c r="E8" s="7"/>
      <c r="F8" s="7"/>
      <c r="G8" s="7"/>
      <c r="H8" s="7"/>
      <c r="I8" s="7"/>
      <c r="J8" s="7"/>
      <c r="K8" s="7"/>
      <c r="L8" s="56"/>
      <c r="M8" s="7"/>
      <c r="N8" s="7"/>
      <c r="O8" s="7"/>
      <c r="P8" s="7"/>
      <c r="Q8" s="289"/>
      <c r="R8" s="276"/>
      <c r="S8" s="276"/>
      <c r="T8" s="260"/>
      <c r="U8" s="7"/>
      <c r="V8" s="7"/>
      <c r="W8" s="7"/>
    </row>
    <row r="9" spans="1:23" s="54" customFormat="1" ht="15.75" customHeight="1">
      <c r="A9" s="194" t="s">
        <v>244</v>
      </c>
      <c r="B9" s="195" t="s">
        <v>111</v>
      </c>
      <c r="C9" s="196">
        <v>80891</v>
      </c>
      <c r="D9" s="196">
        <v>9949.6924969249685</v>
      </c>
      <c r="E9" s="7"/>
      <c r="F9" s="7"/>
      <c r="G9" s="7"/>
      <c r="H9" s="7"/>
      <c r="I9" s="7"/>
      <c r="J9" s="7"/>
      <c r="K9" s="7"/>
      <c r="L9" s="56"/>
      <c r="M9" s="7"/>
      <c r="N9" s="7"/>
      <c r="O9" s="7"/>
      <c r="P9" s="7"/>
      <c r="Q9" s="289"/>
      <c r="R9" s="276"/>
      <c r="S9" s="276"/>
      <c r="T9" s="260"/>
      <c r="U9" s="7"/>
      <c r="V9" s="7"/>
      <c r="W9" s="7"/>
    </row>
    <row r="10" spans="1:23" s="54" customFormat="1" ht="15.75" customHeight="1">
      <c r="A10" s="194" t="s">
        <v>257</v>
      </c>
      <c r="B10" s="195" t="s">
        <v>111</v>
      </c>
      <c r="C10" s="196">
        <v>81575.789999999994</v>
      </c>
      <c r="D10" s="196">
        <v>10033.922509225091</v>
      </c>
      <c r="E10" s="7"/>
      <c r="F10" s="7"/>
      <c r="G10" s="7"/>
      <c r="H10" s="7"/>
      <c r="I10" s="7"/>
      <c r="J10" s="7"/>
      <c r="K10" s="7"/>
      <c r="L10" s="56"/>
      <c r="M10" s="7"/>
      <c r="N10" s="7"/>
      <c r="O10" s="7"/>
      <c r="P10" s="7"/>
      <c r="Q10" s="289"/>
      <c r="R10" s="276"/>
      <c r="S10" s="276"/>
      <c r="T10" s="260"/>
      <c r="U10" s="7"/>
      <c r="V10" s="7"/>
      <c r="W10" s="7"/>
    </row>
    <row r="11" spans="1:23" s="54" customFormat="1" ht="15.75" customHeight="1">
      <c r="A11" s="194" t="s">
        <v>258</v>
      </c>
      <c r="B11" s="195" t="s">
        <v>111</v>
      </c>
      <c r="C11" s="196">
        <v>83800.320000000007</v>
      </c>
      <c r="D11" s="196">
        <v>10307.542435424353</v>
      </c>
      <c r="E11" s="7"/>
      <c r="F11" s="7"/>
      <c r="G11" s="7"/>
      <c r="H11" s="7"/>
      <c r="I11" s="7"/>
      <c r="J11" s="7"/>
      <c r="K11" s="7"/>
      <c r="L11" s="56"/>
      <c r="M11" s="7"/>
      <c r="N11" s="7"/>
      <c r="O11" s="7"/>
      <c r="P11" s="7"/>
      <c r="Q11" s="289"/>
      <c r="R11" s="276"/>
      <c r="S11" s="276"/>
      <c r="T11" s="260"/>
      <c r="U11" s="7"/>
      <c r="V11" s="7"/>
      <c r="W11" s="7"/>
    </row>
    <row r="12" spans="1:23" s="54" customFormat="1" ht="15.75" customHeight="1">
      <c r="A12" s="194" t="s">
        <v>245</v>
      </c>
      <c r="B12" s="195" t="s">
        <v>111</v>
      </c>
      <c r="C12" s="196">
        <v>82452.62</v>
      </c>
      <c r="D12" s="196">
        <v>10141.773677736775</v>
      </c>
      <c r="E12" s="7"/>
      <c r="F12" s="7"/>
      <c r="G12" s="7"/>
      <c r="H12" s="7"/>
      <c r="I12" s="7"/>
      <c r="J12" s="7"/>
      <c r="K12" s="7"/>
      <c r="L12" s="56"/>
      <c r="M12" s="7"/>
      <c r="N12" s="7"/>
      <c r="O12" s="7"/>
      <c r="P12" s="7"/>
      <c r="Q12" s="289"/>
      <c r="R12" s="276"/>
      <c r="S12" s="276"/>
      <c r="T12" s="261"/>
      <c r="U12" s="7"/>
      <c r="V12" s="7"/>
      <c r="W12" s="7"/>
    </row>
    <row r="13" spans="1:23" s="54" customFormat="1" ht="15.75" customHeight="1">
      <c r="A13" s="194" t="s">
        <v>259</v>
      </c>
      <c r="B13" s="195" t="s">
        <v>111</v>
      </c>
      <c r="C13" s="196">
        <v>83438.38</v>
      </c>
      <c r="D13" s="196">
        <v>10263.023370233703</v>
      </c>
      <c r="E13" s="7"/>
      <c r="F13" s="7"/>
      <c r="G13" s="7"/>
      <c r="H13" s="7"/>
      <c r="I13" s="7"/>
      <c r="J13" s="7"/>
      <c r="K13" s="7"/>
      <c r="L13" s="56"/>
      <c r="M13" s="7"/>
      <c r="N13" s="7"/>
      <c r="O13" s="7"/>
      <c r="P13" s="7"/>
      <c r="Q13" s="289"/>
      <c r="R13" s="276"/>
      <c r="S13" s="276"/>
      <c r="T13" s="261"/>
      <c r="U13" s="7"/>
      <c r="V13" s="7"/>
      <c r="W13" s="7"/>
    </row>
    <row r="14" spans="1:23" s="54" customFormat="1" ht="15.75" customHeight="1">
      <c r="A14" s="194" t="s">
        <v>246</v>
      </c>
      <c r="B14" s="195" t="s">
        <v>111</v>
      </c>
      <c r="C14" s="196">
        <v>77232</v>
      </c>
      <c r="D14" s="196">
        <v>9499.6309963099629</v>
      </c>
      <c r="E14" s="7"/>
      <c r="F14" s="7"/>
      <c r="G14" s="7"/>
      <c r="H14" s="7"/>
      <c r="I14" s="7"/>
      <c r="J14" s="7"/>
      <c r="K14" s="7"/>
      <c r="L14" s="56"/>
      <c r="M14" s="7"/>
      <c r="N14" s="7"/>
      <c r="O14" s="7"/>
      <c r="P14" s="7"/>
      <c r="Q14" s="289"/>
      <c r="R14" s="276"/>
      <c r="S14" s="276"/>
      <c r="T14" s="261"/>
      <c r="U14" s="7"/>
      <c r="V14" s="7"/>
      <c r="W14" s="7"/>
    </row>
    <row r="15" spans="1:23" s="54" customFormat="1" ht="15.75" customHeight="1">
      <c r="A15" s="194" t="s">
        <v>247</v>
      </c>
      <c r="B15" s="195" t="s">
        <v>111</v>
      </c>
      <c r="C15" s="196">
        <v>81685.3</v>
      </c>
      <c r="D15" s="196">
        <v>10047.392373923738</v>
      </c>
      <c r="E15" s="7"/>
      <c r="F15" s="7"/>
      <c r="G15" s="7"/>
      <c r="H15" s="7"/>
      <c r="I15" s="7"/>
      <c r="J15" s="7"/>
      <c r="K15" s="7"/>
      <c r="L15" s="56"/>
      <c r="M15" s="7"/>
      <c r="N15" s="7"/>
      <c r="O15" s="7"/>
      <c r="P15" s="7"/>
      <c r="Q15" s="289"/>
      <c r="R15" s="276"/>
      <c r="S15" s="276"/>
      <c r="T15" s="260"/>
      <c r="U15" s="7"/>
      <c r="V15" s="7"/>
      <c r="W15" s="7"/>
    </row>
    <row r="16" spans="1:23" s="54" customFormat="1" ht="15.75" customHeight="1">
      <c r="A16" s="280" t="s">
        <v>147</v>
      </c>
      <c r="B16" s="281"/>
      <c r="C16" s="199">
        <f>SUM(C4:C15)</f>
        <v>973266.41000000015</v>
      </c>
      <c r="D16" s="199">
        <f>SUM(D4:D15)</f>
        <v>119712.9655596556</v>
      </c>
      <c r="E16" s="7"/>
      <c r="F16" s="7"/>
      <c r="G16" s="7"/>
      <c r="H16" s="7"/>
      <c r="I16" s="7"/>
      <c r="J16" s="7"/>
      <c r="K16" s="7"/>
      <c r="L16" s="56"/>
      <c r="M16" s="7"/>
      <c r="N16" s="7"/>
      <c r="O16" s="7"/>
      <c r="P16" s="7"/>
      <c r="Q16" s="289"/>
      <c r="R16" s="276"/>
      <c r="S16" s="276"/>
      <c r="T16" s="260"/>
      <c r="U16" s="7"/>
      <c r="V16" s="7"/>
      <c r="W16" s="7"/>
    </row>
    <row r="17" spans="1:23" ht="15.75" customHeight="1" thickBot="1">
      <c r="A17" s="317" t="s">
        <v>295</v>
      </c>
      <c r="B17" s="318"/>
      <c r="C17" s="318"/>
      <c r="D17" s="319"/>
      <c r="L17" s="56"/>
      <c r="Q17" s="290"/>
      <c r="R17" s="272"/>
      <c r="S17" s="272"/>
      <c r="T17" s="65" t="s">
        <v>140</v>
      </c>
    </row>
    <row r="18" spans="1:23" ht="15.75" customHeight="1" thickBot="1">
      <c r="A18" s="194" t="s">
        <v>260</v>
      </c>
      <c r="B18" s="195" t="s">
        <v>215</v>
      </c>
      <c r="C18" s="196">
        <v>2228113</v>
      </c>
      <c r="D18" s="196">
        <v>274060.63960639603</v>
      </c>
      <c r="E18" s="83"/>
      <c r="F18" s="55"/>
      <c r="H18" s="84"/>
      <c r="I18" s="40"/>
      <c r="J18" s="40"/>
      <c r="K18" s="87"/>
      <c r="L18" s="56"/>
      <c r="Q18" s="277" t="s">
        <v>73</v>
      </c>
      <c r="R18" s="278"/>
      <c r="S18" s="279"/>
      <c r="T18" s="68"/>
    </row>
    <row r="19" spans="1:23" s="54" customFormat="1" ht="15.75" customHeight="1" thickBot="1">
      <c r="A19" s="194" t="s">
        <v>216</v>
      </c>
      <c r="B19" s="195" t="s">
        <v>217</v>
      </c>
      <c r="C19" s="196">
        <v>963908.5</v>
      </c>
      <c r="D19" s="196">
        <v>118561.93111931118</v>
      </c>
      <c r="E19" s="83"/>
      <c r="F19" s="55"/>
      <c r="G19" s="7"/>
      <c r="H19" s="83"/>
      <c r="I19" s="7"/>
      <c r="J19" s="7"/>
      <c r="K19" s="87"/>
      <c r="L19" s="56"/>
      <c r="M19" s="7"/>
      <c r="N19" s="7"/>
      <c r="O19" s="7"/>
      <c r="P19" s="7"/>
      <c r="Q19" s="39" t="s">
        <v>171</v>
      </c>
      <c r="R19" s="66" t="s">
        <v>172</v>
      </c>
      <c r="S19" s="67">
        <f>350000/1.32</f>
        <v>265151.51515151514</v>
      </c>
      <c r="T19" s="67" t="s">
        <v>139</v>
      </c>
      <c r="U19" s="7"/>
      <c r="V19" s="7"/>
      <c r="W19" s="7"/>
    </row>
    <row r="20" spans="1:23" ht="15.75" customHeight="1" thickBot="1">
      <c r="A20" s="194" t="s">
        <v>13</v>
      </c>
      <c r="B20" s="195" t="s">
        <v>267</v>
      </c>
      <c r="C20" s="196">
        <v>885478</v>
      </c>
      <c r="D20" s="196">
        <v>108914.88314883148</v>
      </c>
      <c r="E20" s="83"/>
      <c r="H20" s="83"/>
      <c r="K20" s="87"/>
      <c r="L20" s="56"/>
      <c r="Q20" s="39" t="s">
        <v>126</v>
      </c>
      <c r="R20" s="66" t="s">
        <v>143</v>
      </c>
      <c r="S20" s="67">
        <f>+U20/8.25</f>
        <v>218181.81818181818</v>
      </c>
      <c r="T20" s="67" t="s">
        <v>137</v>
      </c>
      <c r="U20" s="7">
        <f>200000*9</f>
        <v>1800000</v>
      </c>
    </row>
    <row r="21" spans="1:23" ht="15.75" customHeight="1" thickBot="1">
      <c r="A21" s="194" t="s">
        <v>218</v>
      </c>
      <c r="B21" s="195" t="s">
        <v>74</v>
      </c>
      <c r="C21" s="196">
        <v>2533500</v>
      </c>
      <c r="D21" s="196">
        <v>311623.61623616231</v>
      </c>
      <c r="E21" s="83"/>
      <c r="F21" s="55"/>
      <c r="H21" s="83"/>
      <c r="K21" s="87"/>
      <c r="Q21" s="39" t="s">
        <v>142</v>
      </c>
      <c r="R21" s="66" t="s">
        <v>141</v>
      </c>
      <c r="S21" s="67">
        <v>29850</v>
      </c>
      <c r="T21" s="67" t="s">
        <v>137</v>
      </c>
    </row>
    <row r="22" spans="1:23" s="54" customFormat="1" ht="15.75" customHeight="1" thickBot="1">
      <c r="A22" s="194" t="s">
        <v>261</v>
      </c>
      <c r="B22" s="195" t="s">
        <v>219</v>
      </c>
      <c r="C22" s="196">
        <v>1293700</v>
      </c>
      <c r="D22" s="196">
        <v>159126.69126691265</v>
      </c>
      <c r="E22" s="83"/>
      <c r="F22" s="55"/>
      <c r="G22" s="7"/>
      <c r="H22" s="83"/>
      <c r="I22" s="7"/>
      <c r="J22" s="7"/>
      <c r="K22" s="87"/>
      <c r="L22" s="7"/>
      <c r="M22" s="7"/>
      <c r="N22" s="7"/>
      <c r="O22" s="7"/>
      <c r="P22" s="7"/>
      <c r="Q22" s="39" t="s">
        <v>131</v>
      </c>
      <c r="R22" s="66" t="s">
        <v>74</v>
      </c>
      <c r="S22" s="67">
        <f t="shared" ref="S22:S29" si="0">+U22/8.25</f>
        <v>290909.09090909088</v>
      </c>
      <c r="T22" s="67" t="s">
        <v>137</v>
      </c>
      <c r="U22" s="7">
        <v>2400000</v>
      </c>
      <c r="V22" s="7"/>
      <c r="W22" s="7"/>
    </row>
    <row r="23" spans="1:23" s="54" customFormat="1" ht="15.75" customHeight="1" thickBot="1">
      <c r="A23" s="194" t="s">
        <v>262</v>
      </c>
      <c r="B23" s="195" t="s">
        <v>268</v>
      </c>
      <c r="C23" s="196">
        <v>1025732</v>
      </c>
      <c r="D23" s="196">
        <v>126166.29766297662</v>
      </c>
      <c r="E23" s="83"/>
      <c r="F23" s="55"/>
      <c r="G23" s="7"/>
      <c r="H23" s="84"/>
      <c r="I23" s="40"/>
      <c r="J23" s="40"/>
      <c r="K23" s="87"/>
      <c r="L23" s="7"/>
      <c r="M23" s="7"/>
      <c r="N23" s="7"/>
      <c r="O23" s="7"/>
      <c r="P23" s="7"/>
      <c r="Q23" s="39" t="s">
        <v>145</v>
      </c>
      <c r="R23" s="66" t="s">
        <v>146</v>
      </c>
      <c r="S23" s="67">
        <f t="shared" si="0"/>
        <v>163636.36363636365</v>
      </c>
      <c r="T23" s="67" t="s">
        <v>137</v>
      </c>
      <c r="U23" s="7">
        <f>150000*9</f>
        <v>1350000</v>
      </c>
      <c r="V23" s="7"/>
      <c r="W23" s="7"/>
    </row>
    <row r="24" spans="1:23" s="54" customFormat="1" ht="15.75" customHeight="1" thickBot="1">
      <c r="A24" s="194" t="s">
        <v>220</v>
      </c>
      <c r="B24" s="195" t="s">
        <v>269</v>
      </c>
      <c r="C24" s="196">
        <v>2813980</v>
      </c>
      <c r="D24" s="196">
        <v>346123.00123001228</v>
      </c>
      <c r="E24" s="83"/>
      <c r="F24" s="55"/>
      <c r="G24" s="7"/>
      <c r="H24" s="83"/>
      <c r="I24" s="7"/>
      <c r="J24" s="7"/>
      <c r="K24" s="87"/>
      <c r="L24" s="7"/>
      <c r="M24" s="7"/>
      <c r="N24" s="7"/>
      <c r="O24" s="7"/>
      <c r="P24" s="7"/>
      <c r="Q24" s="39" t="s">
        <v>125</v>
      </c>
      <c r="R24" s="66" t="s">
        <v>107</v>
      </c>
      <c r="S24" s="70">
        <f t="shared" si="0"/>
        <v>409090.90909090912</v>
      </c>
      <c r="T24" s="67" t="s">
        <v>138</v>
      </c>
      <c r="U24" s="7">
        <f>9*375000</f>
        <v>3375000</v>
      </c>
      <c r="V24" s="7"/>
      <c r="W24" s="7"/>
    </row>
    <row r="25" spans="1:23" ht="15" thickBot="1">
      <c r="A25" s="194" t="s">
        <v>221</v>
      </c>
      <c r="B25" s="195" t="s">
        <v>222</v>
      </c>
      <c r="C25" s="196">
        <v>1711807</v>
      </c>
      <c r="D25" s="196">
        <v>210554.36654366541</v>
      </c>
      <c r="E25" s="83"/>
      <c r="H25" s="83"/>
      <c r="K25" s="87"/>
      <c r="Q25" s="39" t="s">
        <v>132</v>
      </c>
      <c r="R25" s="66" t="s">
        <v>129</v>
      </c>
      <c r="S25" s="67">
        <f t="shared" si="0"/>
        <v>199636.36363636365</v>
      </c>
      <c r="T25" s="67" t="s">
        <v>139</v>
      </c>
      <c r="U25" s="7">
        <f>183000*9</f>
        <v>1647000</v>
      </c>
    </row>
    <row r="26" spans="1:23" ht="15" thickBot="1">
      <c r="A26" s="194" t="s">
        <v>115</v>
      </c>
      <c r="B26" s="195" t="s">
        <v>217</v>
      </c>
      <c r="C26" s="196">
        <v>943396.22</v>
      </c>
      <c r="D26" s="196">
        <v>116038.89544895447</v>
      </c>
      <c r="E26" s="83"/>
      <c r="F26" s="55"/>
      <c r="H26" s="83"/>
      <c r="K26" s="87"/>
      <c r="Q26" s="39" t="s">
        <v>116</v>
      </c>
      <c r="R26" s="66" t="s">
        <v>136</v>
      </c>
      <c r="S26" s="70">
        <f t="shared" si="0"/>
        <v>207272.72727272726</v>
      </c>
      <c r="T26" s="67" t="s">
        <v>138</v>
      </c>
      <c r="U26" s="7">
        <f>9*190000</f>
        <v>1710000</v>
      </c>
    </row>
    <row r="27" spans="1:23" ht="15.75" customHeight="1" thickBot="1">
      <c r="A27" s="194" t="s">
        <v>223</v>
      </c>
      <c r="B27" s="195" t="s">
        <v>136</v>
      </c>
      <c r="C27" s="196">
        <v>1811440</v>
      </c>
      <c r="D27" s="196">
        <v>222809.34809348092</v>
      </c>
      <c r="E27" s="83"/>
      <c r="F27" s="55"/>
      <c r="H27" s="83"/>
      <c r="K27" s="87"/>
      <c r="Q27" s="39" t="s">
        <v>119</v>
      </c>
      <c r="R27" s="66" t="s">
        <v>144</v>
      </c>
      <c r="S27" s="67">
        <f t="shared" si="0"/>
        <v>272727.27272727271</v>
      </c>
      <c r="T27" s="67" t="s">
        <v>139</v>
      </c>
      <c r="U27" s="7">
        <f>250000*9</f>
        <v>2250000</v>
      </c>
    </row>
    <row r="28" spans="1:23" s="54" customFormat="1" ht="15.75" customHeight="1" thickBot="1">
      <c r="A28" s="194" t="s">
        <v>224</v>
      </c>
      <c r="B28" s="195" t="s">
        <v>225</v>
      </c>
      <c r="C28" s="196">
        <v>2035112</v>
      </c>
      <c r="D28" s="196">
        <v>250321.27921279211</v>
      </c>
      <c r="E28" s="83"/>
      <c r="F28" s="55"/>
      <c r="G28" s="7"/>
      <c r="H28" s="83"/>
      <c r="I28" s="7"/>
      <c r="J28" s="7"/>
      <c r="K28" s="87"/>
      <c r="L28" s="7"/>
      <c r="M28" s="7"/>
      <c r="N28" s="7"/>
      <c r="O28" s="7"/>
      <c r="P28" s="7"/>
      <c r="Q28" s="39" t="s">
        <v>128</v>
      </c>
      <c r="R28" s="66" t="s">
        <v>175</v>
      </c>
      <c r="S28" s="67">
        <f t="shared" si="0"/>
        <v>387878.7878787879</v>
      </c>
      <c r="T28" s="67" t="s">
        <v>139</v>
      </c>
      <c r="U28" s="7">
        <v>3200000</v>
      </c>
      <c r="V28" s="7"/>
      <c r="W28" s="7"/>
    </row>
    <row r="29" spans="1:23" s="54" customFormat="1" ht="15.75" customHeight="1" thickBot="1">
      <c r="A29" s="194" t="s">
        <v>226</v>
      </c>
      <c r="B29" s="195" t="s">
        <v>175</v>
      </c>
      <c r="C29" s="196">
        <v>3200000</v>
      </c>
      <c r="D29" s="196">
        <v>393603.93603936036</v>
      </c>
      <c r="E29" s="83"/>
      <c r="F29" s="55"/>
      <c r="G29" s="7"/>
      <c r="H29" s="83"/>
      <c r="I29" s="7"/>
      <c r="J29" s="7"/>
      <c r="K29" s="87"/>
      <c r="L29" s="7"/>
      <c r="M29" s="7"/>
      <c r="N29" s="7"/>
      <c r="O29" s="7"/>
      <c r="P29" s="7"/>
      <c r="Q29" s="39" t="s">
        <v>121</v>
      </c>
      <c r="R29" s="66" t="s">
        <v>93</v>
      </c>
      <c r="S29" s="70">
        <f t="shared" si="0"/>
        <v>287878.7878787879</v>
      </c>
      <c r="T29" s="67" t="s">
        <v>137</v>
      </c>
      <c r="U29" s="7">
        <f>2500000*0.95</f>
        <v>2375000</v>
      </c>
      <c r="V29" s="7"/>
      <c r="W29" s="7"/>
    </row>
    <row r="30" spans="1:23" ht="15.75" customHeight="1" thickBot="1">
      <c r="A30" s="194" t="s">
        <v>121</v>
      </c>
      <c r="B30" s="195" t="s">
        <v>270</v>
      </c>
      <c r="C30" s="196">
        <v>2767555</v>
      </c>
      <c r="D30" s="196">
        <v>340412.66912669124</v>
      </c>
      <c r="E30" s="83"/>
      <c r="F30" s="55"/>
      <c r="H30" s="83"/>
      <c r="K30" s="87"/>
      <c r="Q30" s="39" t="s">
        <v>134</v>
      </c>
      <c r="R30" s="66" t="s">
        <v>133</v>
      </c>
      <c r="S30" s="70">
        <f>+U30/8.25</f>
        <v>257575.75757575757</v>
      </c>
      <c r="T30" s="67" t="s">
        <v>137</v>
      </c>
      <c r="U30" s="7">
        <f>250000*8.5</f>
        <v>2125000</v>
      </c>
    </row>
    <row r="31" spans="1:23" s="54" customFormat="1" ht="15.75" customHeight="1" thickBot="1">
      <c r="A31" s="194" t="s">
        <v>227</v>
      </c>
      <c r="B31" s="195" t="s">
        <v>271</v>
      </c>
      <c r="C31" s="196">
        <v>505563</v>
      </c>
      <c r="D31" s="196">
        <v>62184.87084870848</v>
      </c>
      <c r="E31" s="83"/>
      <c r="F31" s="55"/>
      <c r="G31" s="7"/>
      <c r="H31" s="83"/>
      <c r="I31" s="7"/>
      <c r="J31" s="7"/>
      <c r="K31" s="87"/>
      <c r="L31" s="7"/>
      <c r="M31" s="7"/>
      <c r="N31" s="7"/>
      <c r="O31" s="7"/>
      <c r="P31" s="7"/>
      <c r="Q31" s="39" t="s">
        <v>130</v>
      </c>
      <c r="R31" s="66" t="s">
        <v>75</v>
      </c>
      <c r="S31" s="67">
        <f>+U31/8.25</f>
        <v>206060.60606060605</v>
      </c>
      <c r="T31" s="67" t="s">
        <v>137</v>
      </c>
      <c r="U31" s="7">
        <f>200000*8.5</f>
        <v>1700000</v>
      </c>
      <c r="V31" s="7"/>
      <c r="W31" s="7"/>
    </row>
    <row r="32" spans="1:23" ht="15" thickBot="1">
      <c r="A32" s="194" t="s">
        <v>263</v>
      </c>
      <c r="B32" s="195" t="s">
        <v>133</v>
      </c>
      <c r="C32" s="196">
        <v>2013625</v>
      </c>
      <c r="D32" s="196">
        <v>247678.35178351781</v>
      </c>
      <c r="E32" s="83"/>
      <c r="F32" s="55"/>
      <c r="H32" s="83"/>
      <c r="K32" s="87"/>
      <c r="Q32" s="39" t="s">
        <v>122</v>
      </c>
      <c r="R32" s="66" t="s">
        <v>124</v>
      </c>
      <c r="S32" s="70">
        <f>+U32/8.25</f>
        <v>173939.39393939395</v>
      </c>
      <c r="T32" s="67" t="s">
        <v>137</v>
      </c>
      <c r="U32" s="7">
        <v>1435000</v>
      </c>
    </row>
    <row r="33" spans="1:23" ht="15" thickBot="1">
      <c r="A33" s="194" t="s">
        <v>264</v>
      </c>
      <c r="B33" s="195" t="s">
        <v>272</v>
      </c>
      <c r="C33" s="196">
        <v>3266912.5</v>
      </c>
      <c r="D33" s="196">
        <v>401834.2558425584</v>
      </c>
      <c r="E33" s="83"/>
      <c r="F33" s="55"/>
      <c r="H33" s="84"/>
      <c r="I33" s="40"/>
      <c r="J33" s="40"/>
      <c r="K33" s="87"/>
      <c r="Q33" s="39" t="s">
        <v>123</v>
      </c>
      <c r="R33" s="66" t="s">
        <v>176</v>
      </c>
      <c r="S33" s="70">
        <f>+U33/8.25</f>
        <v>296969.69696969696</v>
      </c>
      <c r="T33" s="67" t="s">
        <v>177</v>
      </c>
      <c r="U33" s="7">
        <v>2450000</v>
      </c>
    </row>
    <row r="34" spans="1:23" ht="15" thickBot="1">
      <c r="A34" s="194" t="s">
        <v>265</v>
      </c>
      <c r="B34" s="195" t="s">
        <v>273</v>
      </c>
      <c r="C34" s="196">
        <v>4008320</v>
      </c>
      <c r="D34" s="196">
        <v>493028.29028290277</v>
      </c>
      <c r="E34" s="83"/>
      <c r="F34" s="55"/>
      <c r="G34" s="40"/>
      <c r="H34" s="83"/>
      <c r="K34" s="87"/>
      <c r="Q34" s="39" t="s">
        <v>165</v>
      </c>
      <c r="R34" s="66" t="s">
        <v>152</v>
      </c>
      <c r="S34" s="70">
        <f>+U34/8.25</f>
        <v>58181.818181818184</v>
      </c>
      <c r="T34" s="67" t="s">
        <v>177</v>
      </c>
      <c r="U34" s="7">
        <v>480000</v>
      </c>
    </row>
    <row r="35" spans="1:23" s="54" customFormat="1" ht="15" thickBot="1">
      <c r="A35" s="194" t="s">
        <v>265</v>
      </c>
      <c r="B35" s="195" t="s">
        <v>274</v>
      </c>
      <c r="C35" s="196">
        <v>4050450.5</v>
      </c>
      <c r="D35" s="196">
        <v>498210.39360393601</v>
      </c>
      <c r="E35" s="83"/>
      <c r="F35" s="7"/>
      <c r="G35" s="40"/>
      <c r="H35" s="7"/>
      <c r="I35" s="7"/>
      <c r="J35" s="7"/>
      <c r="K35" s="7"/>
      <c r="L35" s="7"/>
      <c r="M35" s="7"/>
      <c r="N35" s="7"/>
      <c r="O35" s="7"/>
      <c r="P35" s="7"/>
      <c r="Q35" s="39" t="s">
        <v>151</v>
      </c>
      <c r="R35" s="66" t="s">
        <v>108</v>
      </c>
      <c r="S35" s="71">
        <v>500000</v>
      </c>
      <c r="T35" s="67" t="s">
        <v>137</v>
      </c>
      <c r="U35" s="7"/>
      <c r="V35" s="7"/>
      <c r="W35" s="7"/>
    </row>
    <row r="36" spans="1:23" s="54" customFormat="1" ht="15" thickBot="1">
      <c r="A36" s="194" t="s">
        <v>266</v>
      </c>
      <c r="B36" s="195" t="s">
        <v>275</v>
      </c>
      <c r="C36" s="196">
        <v>823999.96299999999</v>
      </c>
      <c r="D36" s="196">
        <v>101353.00897908978</v>
      </c>
      <c r="E36" s="83"/>
      <c r="F36" s="7"/>
      <c r="G36" s="40"/>
      <c r="H36" s="7"/>
      <c r="I36" s="7"/>
      <c r="J36" s="7"/>
      <c r="K36" s="7"/>
      <c r="L36" s="7"/>
      <c r="M36" s="7"/>
      <c r="N36" s="7"/>
      <c r="O36" s="7"/>
      <c r="P36" s="7"/>
      <c r="Q36" s="39" t="s">
        <v>127</v>
      </c>
      <c r="R36" s="66" t="s">
        <v>120</v>
      </c>
      <c r="S36" s="70">
        <v>150000</v>
      </c>
      <c r="T36" s="67" t="s">
        <v>137</v>
      </c>
      <c r="U36" s="7"/>
      <c r="V36" s="7"/>
      <c r="W36" s="7"/>
    </row>
    <row r="37" spans="1:23" ht="15.75" customHeight="1">
      <c r="A37" s="280" t="s">
        <v>180</v>
      </c>
      <c r="B37" s="281"/>
      <c r="C37" s="199">
        <f>SUM(C18:C36)</f>
        <v>38882592.682999998</v>
      </c>
      <c r="D37" s="199">
        <f>SUM(D18:D36)</f>
        <v>4782606.7260762602</v>
      </c>
      <c r="G37" s="40"/>
      <c r="H37" s="40"/>
      <c r="I37" s="40"/>
      <c r="J37" s="40"/>
      <c r="K37" s="40"/>
      <c r="Q37" s="75" t="s">
        <v>148</v>
      </c>
      <c r="R37" s="76"/>
      <c r="S37" s="77">
        <v>2355000</v>
      </c>
      <c r="T37" s="58"/>
    </row>
    <row r="38" spans="1:23">
      <c r="A38" s="320" t="s">
        <v>228</v>
      </c>
      <c r="B38" s="321"/>
      <c r="C38" s="321"/>
      <c r="D38" s="322"/>
      <c r="Q38" s="32"/>
      <c r="R38" s="69"/>
      <c r="S38" s="40"/>
      <c r="T38" s="58"/>
    </row>
    <row r="39" spans="1:23" s="54" customFormat="1" ht="15" thickBot="1">
      <c r="A39" s="198" t="s">
        <v>229</v>
      </c>
      <c r="B39" s="195" t="s">
        <v>230</v>
      </c>
      <c r="C39" s="196">
        <v>76446</v>
      </c>
      <c r="D39" s="196">
        <v>9402.9520295202947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2" t="s">
        <v>150</v>
      </c>
      <c r="R39" s="73"/>
      <c r="S39" s="74">
        <f>SUM(S37:S37)</f>
        <v>2355000</v>
      </c>
      <c r="T39" s="59"/>
      <c r="U39" s="7"/>
      <c r="V39" s="7"/>
      <c r="W39" s="7"/>
    </row>
    <row r="40" spans="1:23" s="54" customFormat="1" ht="15" thickBot="1">
      <c r="A40" s="198" t="s">
        <v>231</v>
      </c>
      <c r="B40" s="195" t="s">
        <v>84</v>
      </c>
      <c r="C40" s="196">
        <v>162770</v>
      </c>
      <c r="D40" s="196">
        <v>20020.91020910209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40"/>
      <c r="R40" s="40"/>
      <c r="S40" s="7"/>
      <c r="T40" s="7"/>
      <c r="U40" s="7"/>
      <c r="V40" s="7"/>
      <c r="W40" s="7"/>
    </row>
    <row r="41" spans="1:23" s="41" customFormat="1" ht="15" thickBot="1">
      <c r="A41" s="200" t="s">
        <v>76</v>
      </c>
      <c r="B41" s="201"/>
      <c r="C41" s="199">
        <f>SUM(C39:C40)</f>
        <v>239216</v>
      </c>
      <c r="D41" s="199">
        <f>SUM(D39:D40)</f>
        <v>29423.862238622387</v>
      </c>
      <c r="E41" s="40"/>
      <c r="F41" s="40"/>
      <c r="G41" s="7"/>
      <c r="H41" s="7"/>
      <c r="I41" s="7"/>
      <c r="J41" s="7"/>
      <c r="K41" s="7"/>
      <c r="L41" s="40"/>
      <c r="M41" s="40"/>
      <c r="N41" s="40"/>
      <c r="O41" s="40"/>
      <c r="P41" s="7"/>
      <c r="Q41" s="273" t="s">
        <v>161</v>
      </c>
      <c r="R41" s="274"/>
      <c r="S41" s="275"/>
      <c r="T41" s="7"/>
      <c r="U41" s="7"/>
      <c r="V41" s="40"/>
    </row>
    <row r="42" spans="1:23" s="41" customFormat="1">
      <c r="A42" s="320" t="s">
        <v>77</v>
      </c>
      <c r="B42" s="321"/>
      <c r="C42" s="321"/>
      <c r="D42" s="322"/>
      <c r="E42" s="40"/>
      <c r="F42" s="40"/>
      <c r="G42" s="7"/>
      <c r="H42" s="7"/>
      <c r="I42" s="7"/>
      <c r="J42" s="7"/>
      <c r="K42" s="7"/>
      <c r="L42" s="40"/>
      <c r="M42" s="40"/>
      <c r="N42" s="40"/>
      <c r="O42" s="40"/>
      <c r="P42" s="40"/>
      <c r="Q42" s="288" t="s">
        <v>69</v>
      </c>
      <c r="R42" s="271" t="s">
        <v>82</v>
      </c>
      <c r="S42" s="271" t="s">
        <v>135</v>
      </c>
      <c r="T42" s="7"/>
      <c r="U42" s="7"/>
      <c r="V42" s="40"/>
    </row>
    <row r="43" spans="1:23" s="41" customFormat="1" ht="15" thickBot="1">
      <c r="A43" s="317" t="s">
        <v>78</v>
      </c>
      <c r="B43" s="318"/>
      <c r="C43" s="318"/>
      <c r="D43" s="319"/>
      <c r="E43" s="40"/>
      <c r="F43" s="40"/>
      <c r="G43" s="7"/>
      <c r="H43" s="7"/>
      <c r="I43" s="7"/>
      <c r="J43" s="7"/>
      <c r="K43" s="7"/>
      <c r="L43" s="40"/>
      <c r="M43" s="40"/>
      <c r="N43" s="40"/>
      <c r="O43" s="40"/>
      <c r="P43" s="40"/>
      <c r="Q43" s="290"/>
      <c r="R43" s="272"/>
      <c r="S43" s="272"/>
      <c r="T43" s="7"/>
      <c r="U43" s="7"/>
      <c r="V43" s="40"/>
    </row>
    <row r="44" spans="1:23" s="41" customFormat="1" ht="15" thickBot="1">
      <c r="A44" s="194" t="s">
        <v>232</v>
      </c>
      <c r="B44" s="195" t="s">
        <v>85</v>
      </c>
      <c r="C44" s="196">
        <v>466130</v>
      </c>
      <c r="D44" s="196">
        <v>57334.563345633454</v>
      </c>
      <c r="E44" s="40"/>
      <c r="F44" s="40"/>
      <c r="G44" s="7"/>
      <c r="H44" s="7"/>
      <c r="I44" s="7"/>
      <c r="J44" s="7"/>
      <c r="K44" s="7"/>
      <c r="L44" s="40"/>
      <c r="M44" s="40"/>
      <c r="N44" s="40"/>
      <c r="O44" s="40"/>
      <c r="P44" s="40"/>
      <c r="Q44" s="277" t="s">
        <v>73</v>
      </c>
      <c r="R44" s="278"/>
      <c r="S44" s="279"/>
      <c r="T44" s="7"/>
      <c r="U44" s="40"/>
      <c r="V44" s="40"/>
    </row>
    <row r="45" spans="1:23" s="41" customFormat="1" ht="15" thickBot="1">
      <c r="A45" s="194" t="s">
        <v>282</v>
      </c>
      <c r="B45" s="195" t="s">
        <v>111</v>
      </c>
      <c r="C45" s="196">
        <v>85824.11</v>
      </c>
      <c r="D45" s="196">
        <v>10556.471094710947</v>
      </c>
      <c r="E45" s="40"/>
      <c r="F45" s="40"/>
      <c r="G45" s="7"/>
      <c r="H45" s="7"/>
      <c r="I45" s="7"/>
      <c r="J45" s="7"/>
      <c r="K45" s="7"/>
      <c r="L45" s="40"/>
      <c r="M45" s="40"/>
      <c r="N45" s="40"/>
      <c r="O45" s="40"/>
      <c r="P45" s="40"/>
      <c r="Q45" s="39" t="s">
        <v>163</v>
      </c>
      <c r="R45" s="66" t="s">
        <v>164</v>
      </c>
      <c r="S45" s="67">
        <v>25000</v>
      </c>
      <c r="T45" s="33">
        <f>+S45</f>
        <v>25000</v>
      </c>
      <c r="U45" s="40"/>
      <c r="V45" s="40"/>
    </row>
    <row r="46" spans="1:23" ht="15" thickBot="1">
      <c r="A46" s="194" t="s">
        <v>233</v>
      </c>
      <c r="B46" s="195" t="s">
        <v>84</v>
      </c>
      <c r="C46" s="196">
        <v>167228</v>
      </c>
      <c r="D46" s="196">
        <v>20569.249692496924</v>
      </c>
      <c r="E46" s="40"/>
      <c r="P46" s="40"/>
      <c r="Q46" s="39" t="s">
        <v>125</v>
      </c>
      <c r="R46" s="66" t="s">
        <v>162</v>
      </c>
      <c r="S46" s="67">
        <f>281250*9/(8.4)</f>
        <v>301339.28571428568</v>
      </c>
      <c r="T46" s="33">
        <f t="shared" ref="T46:T60" si="1">+S46</f>
        <v>301339.28571428568</v>
      </c>
      <c r="U46" s="40"/>
      <c r="W46"/>
    </row>
    <row r="47" spans="1:23" ht="15" thickBot="1">
      <c r="A47" s="194" t="s">
        <v>234</v>
      </c>
      <c r="B47" s="195" t="s">
        <v>85</v>
      </c>
      <c r="C47" s="196">
        <v>457532</v>
      </c>
      <c r="D47" s="196">
        <v>56276.998769987695</v>
      </c>
      <c r="E47" s="40"/>
      <c r="Q47" s="39" t="s">
        <v>134</v>
      </c>
      <c r="R47" s="66" t="s">
        <v>159</v>
      </c>
      <c r="S47" s="67">
        <f>187500*1</f>
        <v>187500</v>
      </c>
      <c r="T47" s="33">
        <f>+S47/3</f>
        <v>62500</v>
      </c>
      <c r="U47" s="40"/>
      <c r="W47"/>
    </row>
    <row r="48" spans="1:23" ht="15" thickBot="1">
      <c r="A48" s="194" t="s">
        <v>235</v>
      </c>
      <c r="B48" s="195" t="s">
        <v>85</v>
      </c>
      <c r="C48" s="196">
        <v>458344</v>
      </c>
      <c r="D48" s="196">
        <v>56376.87576875768</v>
      </c>
      <c r="E48" s="40"/>
      <c r="Q48" s="39" t="s">
        <v>122</v>
      </c>
      <c r="R48" s="66" t="s">
        <v>124</v>
      </c>
      <c r="S48" s="67">
        <f>143500*10.4/8.4</f>
        <v>177666.66666666666</v>
      </c>
      <c r="T48" s="33">
        <f t="shared" si="1"/>
        <v>177666.66666666666</v>
      </c>
      <c r="U48" s="40"/>
      <c r="W48"/>
    </row>
    <row r="49" spans="1:23" ht="15" thickBot="1">
      <c r="A49" s="194" t="s">
        <v>94</v>
      </c>
      <c r="B49" s="195" t="s">
        <v>85</v>
      </c>
      <c r="C49" s="196">
        <v>501878</v>
      </c>
      <c r="D49" s="196">
        <v>61731.611316113158</v>
      </c>
      <c r="E49" s="40"/>
      <c r="G49" s="40"/>
      <c r="H49" s="40"/>
      <c r="I49" s="40"/>
      <c r="J49" s="40"/>
      <c r="K49" s="40"/>
      <c r="Q49" s="39" t="s">
        <v>123</v>
      </c>
      <c r="R49" s="66" t="s">
        <v>176</v>
      </c>
      <c r="S49" s="67">
        <f>245000*10.4/8.4</f>
        <v>303333.33333333331</v>
      </c>
      <c r="T49" s="33">
        <f>+S49</f>
        <v>303333.33333333331</v>
      </c>
      <c r="W49"/>
    </row>
    <row r="50" spans="1:23" ht="15" thickBot="1">
      <c r="A50" s="194" t="s">
        <v>283</v>
      </c>
      <c r="B50" s="195" t="s">
        <v>284</v>
      </c>
      <c r="C50" s="196">
        <v>501328</v>
      </c>
      <c r="D50" s="196">
        <v>61663.96063960639</v>
      </c>
      <c r="E50" s="40"/>
      <c r="G50" s="40"/>
      <c r="H50" s="40"/>
      <c r="I50" s="40"/>
      <c r="J50" s="40"/>
      <c r="K50" s="40"/>
      <c r="Q50" s="39" t="s">
        <v>165</v>
      </c>
      <c r="R50" s="66" t="s">
        <v>152</v>
      </c>
      <c r="S50" s="67">
        <f>48000*10.4/8.4</f>
        <v>59428.571428571428</v>
      </c>
      <c r="T50" s="33">
        <f t="shared" si="1"/>
        <v>59428.571428571428</v>
      </c>
      <c r="W50"/>
    </row>
    <row r="51" spans="1:23" s="54" customFormat="1" ht="15" thickBot="1">
      <c r="A51" s="194" t="s">
        <v>236</v>
      </c>
      <c r="B51" s="195" t="s">
        <v>85</v>
      </c>
      <c r="C51" s="196">
        <v>476947</v>
      </c>
      <c r="D51" s="196">
        <v>58665.067650676501</v>
      </c>
      <c r="E51" s="40"/>
      <c r="F51" s="7"/>
      <c r="G51" s="40"/>
      <c r="H51" s="40"/>
      <c r="I51" s="40"/>
      <c r="J51" s="40"/>
      <c r="K51" s="40"/>
      <c r="L51" s="7"/>
      <c r="M51" s="7"/>
      <c r="N51" s="7"/>
      <c r="O51" s="7"/>
      <c r="P51" s="7"/>
      <c r="Q51" s="39" t="s">
        <v>166</v>
      </c>
      <c r="R51" s="66" t="s">
        <v>167</v>
      </c>
      <c r="S51" s="67">
        <v>70000</v>
      </c>
      <c r="T51" s="33">
        <f t="shared" si="1"/>
        <v>70000</v>
      </c>
      <c r="U51" s="7"/>
      <c r="V51" s="7"/>
    </row>
    <row r="52" spans="1:23" s="54" customFormat="1" ht="15" thickBot="1">
      <c r="A52" s="194" t="s">
        <v>237</v>
      </c>
      <c r="B52" s="195" t="s">
        <v>84</v>
      </c>
      <c r="C52" s="196">
        <v>168190</v>
      </c>
      <c r="D52" s="196">
        <v>20687.576875768755</v>
      </c>
      <c r="E52" s="40"/>
      <c r="F52" s="7"/>
      <c r="G52" s="40"/>
      <c r="H52" s="40"/>
      <c r="I52" s="40"/>
      <c r="J52" s="40"/>
      <c r="K52" s="40"/>
      <c r="L52" s="7"/>
      <c r="M52" s="7"/>
      <c r="N52" s="7"/>
      <c r="O52" s="7"/>
      <c r="P52" s="7"/>
      <c r="Q52" s="39" t="s">
        <v>173</v>
      </c>
      <c r="R52" s="66" t="s">
        <v>174</v>
      </c>
      <c r="S52" s="67">
        <v>10000</v>
      </c>
      <c r="T52" s="33">
        <f t="shared" si="1"/>
        <v>10000</v>
      </c>
      <c r="U52" s="7"/>
      <c r="V52" s="7"/>
    </row>
    <row r="53" spans="1:23" ht="15" thickBot="1">
      <c r="A53" s="194" t="s">
        <v>285</v>
      </c>
      <c r="B53" s="195" t="s">
        <v>101</v>
      </c>
      <c r="C53" s="196">
        <v>388875</v>
      </c>
      <c r="D53" s="196">
        <v>47832.103321033203</v>
      </c>
      <c r="E53" s="40"/>
      <c r="G53" s="40"/>
      <c r="H53" s="40"/>
      <c r="I53" s="40"/>
      <c r="J53" s="40"/>
      <c r="K53" s="40"/>
      <c r="Q53" s="39" t="s">
        <v>156</v>
      </c>
      <c r="R53" s="66" t="s">
        <v>157</v>
      </c>
      <c r="S53" s="67">
        <v>40000</v>
      </c>
      <c r="T53" s="33">
        <f t="shared" si="1"/>
        <v>40000</v>
      </c>
      <c r="W53"/>
    </row>
    <row r="54" spans="1:23" ht="15" thickBot="1">
      <c r="A54" s="194" t="s">
        <v>117</v>
      </c>
      <c r="B54" s="195" t="s">
        <v>85</v>
      </c>
      <c r="C54" s="196">
        <v>484775</v>
      </c>
      <c r="D54" s="196">
        <v>59627.921279212787</v>
      </c>
      <c r="E54" s="40"/>
      <c r="G54" s="40"/>
      <c r="H54" s="40"/>
      <c r="I54" s="40"/>
      <c r="J54" s="40"/>
      <c r="K54" s="40"/>
      <c r="Q54" s="39" t="s">
        <v>155</v>
      </c>
      <c r="R54" s="66" t="s">
        <v>154</v>
      </c>
      <c r="S54" s="67">
        <v>15000</v>
      </c>
      <c r="T54" s="33">
        <f t="shared" si="1"/>
        <v>15000</v>
      </c>
      <c r="W54"/>
    </row>
    <row r="55" spans="1:23" s="54" customFormat="1" ht="15" thickBot="1">
      <c r="A55" s="194" t="s">
        <v>168</v>
      </c>
      <c r="B55" s="195" t="s">
        <v>85</v>
      </c>
      <c r="C55" s="196">
        <v>523620</v>
      </c>
      <c r="D55" s="196">
        <v>64405.904059040586</v>
      </c>
      <c r="E55" s="40"/>
      <c r="F55" s="7"/>
      <c r="G55" s="40"/>
      <c r="H55" s="40"/>
      <c r="I55" s="40"/>
      <c r="J55" s="40"/>
      <c r="K55" s="40"/>
      <c r="L55" s="7"/>
      <c r="M55" s="7"/>
      <c r="N55" s="7"/>
      <c r="O55" s="7"/>
      <c r="P55" s="7"/>
      <c r="Q55" s="39" t="s">
        <v>170</v>
      </c>
      <c r="R55" s="66" t="s">
        <v>169</v>
      </c>
      <c r="S55" s="67">
        <v>60000</v>
      </c>
      <c r="T55" s="33">
        <f t="shared" si="1"/>
        <v>60000</v>
      </c>
      <c r="U55" s="7"/>
      <c r="V55" s="7"/>
    </row>
    <row r="56" spans="1:23" ht="15" thickBot="1">
      <c r="A56" s="194" t="s">
        <v>286</v>
      </c>
      <c r="B56" s="195" t="s">
        <v>84</v>
      </c>
      <c r="C56" s="196">
        <v>153650</v>
      </c>
      <c r="D56" s="196">
        <v>18899.138991389911</v>
      </c>
      <c r="E56" s="40"/>
      <c r="G56" s="40"/>
      <c r="H56" s="40"/>
      <c r="I56" s="40"/>
      <c r="J56" s="40"/>
      <c r="K56" s="40"/>
      <c r="Q56" s="39" t="s">
        <v>102</v>
      </c>
      <c r="R56" s="66" t="s">
        <v>154</v>
      </c>
      <c r="S56" s="67">
        <v>15000</v>
      </c>
      <c r="T56" s="33">
        <f t="shared" si="1"/>
        <v>15000</v>
      </c>
      <c r="W56"/>
    </row>
    <row r="57" spans="1:23" s="54" customFormat="1" ht="15" thickBot="1">
      <c r="A57" s="194" t="s">
        <v>287</v>
      </c>
      <c r="B57" s="195" t="s">
        <v>111</v>
      </c>
      <c r="C57" s="196">
        <v>83220</v>
      </c>
      <c r="D57" s="196">
        <v>10236.162361623616</v>
      </c>
      <c r="E57" s="40"/>
      <c r="F57" s="7"/>
      <c r="G57" s="40"/>
      <c r="H57" s="40"/>
      <c r="I57" s="40"/>
      <c r="J57" s="40"/>
      <c r="K57" s="40"/>
      <c r="L57" s="7"/>
      <c r="M57" s="7"/>
      <c r="N57" s="7"/>
      <c r="O57" s="7"/>
      <c r="P57" s="7"/>
      <c r="Q57" s="39" t="s">
        <v>158</v>
      </c>
      <c r="R57" s="66" t="s">
        <v>154</v>
      </c>
      <c r="S57" s="67">
        <v>15000</v>
      </c>
      <c r="T57" s="33">
        <f t="shared" si="1"/>
        <v>15000</v>
      </c>
      <c r="U57" s="7"/>
      <c r="V57" s="7"/>
    </row>
    <row r="58" spans="1:23" ht="15" thickBot="1">
      <c r="A58" s="194" t="s">
        <v>156</v>
      </c>
      <c r="B58" s="195" t="s">
        <v>86</v>
      </c>
      <c r="C58" s="196">
        <v>332380</v>
      </c>
      <c r="D58" s="196">
        <v>40883.14883148831</v>
      </c>
      <c r="E58" s="40"/>
      <c r="G58" s="40"/>
      <c r="H58" s="40"/>
      <c r="I58" s="40"/>
      <c r="J58" s="40"/>
      <c r="K58" s="40"/>
      <c r="Q58" s="39" t="s">
        <v>178</v>
      </c>
      <c r="R58" s="66" t="s">
        <v>154</v>
      </c>
      <c r="S58" s="67">
        <v>15000</v>
      </c>
      <c r="T58" s="33"/>
      <c r="W58"/>
    </row>
    <row r="59" spans="1:23" ht="15" thickBot="1">
      <c r="A59" s="194" t="s">
        <v>238</v>
      </c>
      <c r="B59" s="195" t="s">
        <v>85</v>
      </c>
      <c r="C59" s="196">
        <v>502526.22</v>
      </c>
      <c r="D59" s="196">
        <v>61811.343173431727</v>
      </c>
      <c r="E59" s="40"/>
      <c r="Q59" s="39" t="s">
        <v>95</v>
      </c>
      <c r="R59" s="66" t="s">
        <v>154</v>
      </c>
      <c r="S59" s="67">
        <v>15000</v>
      </c>
      <c r="T59" s="33">
        <f t="shared" si="1"/>
        <v>15000</v>
      </c>
      <c r="W59"/>
    </row>
    <row r="60" spans="1:23" s="54" customFormat="1" ht="15" thickBot="1">
      <c r="A60" s="194" t="s">
        <v>21</v>
      </c>
      <c r="B60" s="195" t="s">
        <v>86</v>
      </c>
      <c r="C60" s="196">
        <v>320800</v>
      </c>
      <c r="D60" s="196">
        <v>39458.794587945878</v>
      </c>
      <c r="E60" s="40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39" t="s">
        <v>153</v>
      </c>
      <c r="R60" s="66" t="s">
        <v>154</v>
      </c>
      <c r="S60" s="67">
        <v>15000</v>
      </c>
      <c r="T60" s="33">
        <f t="shared" si="1"/>
        <v>15000</v>
      </c>
      <c r="U60" s="7"/>
      <c r="V60" s="7"/>
    </row>
    <row r="61" spans="1:23">
      <c r="A61" s="194" t="s">
        <v>112</v>
      </c>
      <c r="B61" s="195" t="s">
        <v>84</v>
      </c>
      <c r="C61" s="196">
        <v>152851</v>
      </c>
      <c r="D61" s="196">
        <v>18800.861008610085</v>
      </c>
      <c r="E61" s="40"/>
      <c r="Q61" s="32"/>
      <c r="R61" s="69"/>
      <c r="S61" s="57"/>
    </row>
    <row r="62" spans="1:23" s="54" customFormat="1" ht="15" thickBot="1">
      <c r="A62" s="194" t="s">
        <v>239</v>
      </c>
      <c r="B62" s="195" t="s">
        <v>85</v>
      </c>
      <c r="C62" s="196">
        <v>485330</v>
      </c>
      <c r="D62" s="196">
        <v>59696.186961869615</v>
      </c>
      <c r="E62" s="40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2" t="s">
        <v>160</v>
      </c>
      <c r="R62" s="73"/>
      <c r="S62" s="78">
        <f>SUM(S45:S60)</f>
        <v>1324267.857142857</v>
      </c>
      <c r="T62" s="78">
        <f>SUM(T45:T60)</f>
        <v>1184267.8571428573</v>
      </c>
      <c r="U62" s="7"/>
      <c r="V62" s="7"/>
      <c r="W62" s="7"/>
    </row>
    <row r="63" spans="1:23">
      <c r="A63" s="194" t="s">
        <v>118</v>
      </c>
      <c r="B63" s="195" t="s">
        <v>84</v>
      </c>
      <c r="C63" s="196">
        <v>156971</v>
      </c>
      <c r="D63" s="196">
        <v>19307.62607626076</v>
      </c>
      <c r="E63" s="40"/>
      <c r="Q63" s="54"/>
      <c r="R63" s="54"/>
      <c r="S63" s="54"/>
    </row>
    <row r="64" spans="1:23">
      <c r="A64" s="194" t="s">
        <v>1</v>
      </c>
      <c r="B64" s="195" t="s">
        <v>85</v>
      </c>
      <c r="C64" s="196">
        <v>458750</v>
      </c>
      <c r="D64" s="196">
        <v>56426.814268142676</v>
      </c>
      <c r="E64" s="40"/>
    </row>
    <row r="65" spans="1:23" s="54" customFormat="1">
      <c r="A65" s="194" t="s">
        <v>170</v>
      </c>
      <c r="B65" s="195" t="s">
        <v>85</v>
      </c>
      <c r="C65" s="196">
        <v>481842</v>
      </c>
      <c r="D65" s="196">
        <v>59267.158671586709</v>
      </c>
      <c r="E65" s="40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 s="54" customFormat="1">
      <c r="A66" s="194" t="s">
        <v>240</v>
      </c>
      <c r="B66" s="195" t="s">
        <v>84</v>
      </c>
      <c r="C66" s="196">
        <v>154106</v>
      </c>
      <c r="D66" s="196">
        <v>18955.227552275523</v>
      </c>
      <c r="E66" s="40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 s="54" customFormat="1">
      <c r="A67" s="194" t="s">
        <v>96</v>
      </c>
      <c r="B67" s="195" t="s">
        <v>85</v>
      </c>
      <c r="C67" s="196">
        <v>502495.55</v>
      </c>
      <c r="D67" s="196">
        <v>61807.57072570725</v>
      </c>
      <c r="E67" s="40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1:23">
      <c r="A68" s="194" t="s">
        <v>288</v>
      </c>
      <c r="B68" s="195" t="s">
        <v>111</v>
      </c>
      <c r="C68" s="196">
        <v>85284.46</v>
      </c>
      <c r="D68" s="196">
        <v>10490.093480934809</v>
      </c>
      <c r="E68" s="40"/>
    </row>
    <row r="69" spans="1:23" s="41" customFormat="1">
      <c r="A69" s="293" t="s">
        <v>181</v>
      </c>
      <c r="B69" s="294"/>
      <c r="C69" s="202">
        <f>SUM(C44:C68)</f>
        <v>8550877.3399999999</v>
      </c>
      <c r="D69" s="202">
        <f>SUM(D44:D68)</f>
        <v>1051768.4305043048</v>
      </c>
      <c r="E69" s="40"/>
      <c r="F69" s="40"/>
      <c r="G69" s="7"/>
      <c r="H69" s="7"/>
      <c r="I69" s="7"/>
      <c r="J69" s="7"/>
      <c r="K69" s="7"/>
      <c r="L69" s="7"/>
      <c r="M69" s="40"/>
      <c r="N69" s="40"/>
      <c r="O69" s="40"/>
      <c r="P69" s="40"/>
      <c r="Q69" s="40"/>
      <c r="R69" s="7"/>
      <c r="S69" s="7"/>
      <c r="T69" s="7"/>
      <c r="U69" s="7"/>
      <c r="V69" s="40"/>
      <c r="W69" s="40"/>
    </row>
    <row r="70" spans="1:23">
      <c r="A70" s="314" t="s">
        <v>79</v>
      </c>
      <c r="B70" s="315"/>
      <c r="C70" s="315"/>
      <c r="D70" s="316"/>
      <c r="P70" s="40"/>
      <c r="V70" s="40"/>
    </row>
    <row r="71" spans="1:23" s="54" customFormat="1">
      <c r="A71" s="194" t="s">
        <v>105</v>
      </c>
      <c r="B71" s="195" t="s">
        <v>86</v>
      </c>
      <c r="C71" s="196">
        <v>335700</v>
      </c>
      <c r="D71" s="196">
        <v>41291.512915129148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spans="1:23" s="54" customFormat="1">
      <c r="A72" s="194" t="s">
        <v>83</v>
      </c>
      <c r="B72" s="195" t="s">
        <v>104</v>
      </c>
      <c r="C72" s="196">
        <v>116481</v>
      </c>
      <c r="D72" s="196">
        <v>14327.30627306273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1:23">
      <c r="A73" s="194" t="s">
        <v>17</v>
      </c>
      <c r="B73" s="195" t="s">
        <v>104</v>
      </c>
      <c r="C73" s="196">
        <v>126117.5</v>
      </c>
      <c r="D73" s="196">
        <v>15512.607626076258</v>
      </c>
      <c r="S73" s="40"/>
      <c r="T73" s="40"/>
      <c r="U73" s="40"/>
    </row>
    <row r="74" spans="1:23">
      <c r="A74" s="194" t="s">
        <v>95</v>
      </c>
      <c r="B74" s="195" t="s">
        <v>104</v>
      </c>
      <c r="C74" s="196">
        <v>124263.28</v>
      </c>
      <c r="D74" s="196">
        <v>15284.536285362852</v>
      </c>
      <c r="L74" s="40"/>
      <c r="R74" s="40"/>
      <c r="S74" s="40"/>
      <c r="T74" s="40"/>
      <c r="U74" s="40"/>
    </row>
    <row r="75" spans="1:23">
      <c r="A75" s="194" t="s">
        <v>18</v>
      </c>
      <c r="B75" s="195" t="s">
        <v>279</v>
      </c>
      <c r="C75" s="196">
        <v>144448</v>
      </c>
      <c r="D75" s="196">
        <v>17767.281672816727</v>
      </c>
      <c r="G75" s="40"/>
      <c r="H75" s="40"/>
      <c r="I75" s="40"/>
      <c r="J75" s="40"/>
      <c r="K75" s="40"/>
      <c r="S75" s="40"/>
      <c r="T75" s="40"/>
      <c r="U75" s="40"/>
    </row>
    <row r="76" spans="1:23" s="41" customFormat="1">
      <c r="A76" s="194" t="s">
        <v>19</v>
      </c>
      <c r="B76" s="195" t="s">
        <v>84</v>
      </c>
      <c r="C76" s="196">
        <v>161883</v>
      </c>
      <c r="D76" s="196">
        <v>19911.808118081179</v>
      </c>
      <c r="E76" s="40"/>
      <c r="F76" s="42"/>
      <c r="G76" s="7"/>
      <c r="H76" s="7"/>
      <c r="I76" s="7"/>
      <c r="J76" s="7"/>
      <c r="K76" s="7"/>
      <c r="L76" s="40"/>
      <c r="M76" s="40"/>
      <c r="N76" s="40"/>
      <c r="O76" s="40"/>
      <c r="P76" s="7"/>
      <c r="Q76" s="40"/>
      <c r="R76" s="40"/>
      <c r="S76" s="40"/>
      <c r="T76" s="40"/>
      <c r="U76" s="40"/>
      <c r="V76" s="7"/>
      <c r="W76" s="40"/>
    </row>
    <row r="77" spans="1:23" s="54" customFormat="1">
      <c r="A77" s="194" t="s">
        <v>20</v>
      </c>
      <c r="B77" s="195" t="s">
        <v>280</v>
      </c>
      <c r="C77" s="196">
        <v>4063023</v>
      </c>
      <c r="D77" s="196">
        <v>499756.82656826562</v>
      </c>
      <c r="E77" s="7"/>
      <c r="F77" s="7"/>
      <c r="G77" s="40"/>
      <c r="H77" s="40"/>
      <c r="I77" s="40"/>
      <c r="J77" s="40"/>
      <c r="K77" s="40"/>
      <c r="L77" s="7"/>
      <c r="M77" s="7"/>
      <c r="N77" s="7"/>
      <c r="O77" s="7"/>
      <c r="P77" s="40"/>
      <c r="Q77" s="7"/>
      <c r="R77" s="40"/>
      <c r="S77" s="7"/>
      <c r="T77" s="7"/>
      <c r="U77" s="7"/>
      <c r="V77" s="40"/>
      <c r="W77" s="7"/>
    </row>
    <row r="78" spans="1:23" s="41" customFormat="1">
      <c r="A78" s="194" t="s">
        <v>103</v>
      </c>
      <c r="B78" s="195" t="s">
        <v>279</v>
      </c>
      <c r="C78" s="196">
        <v>147762</v>
      </c>
      <c r="D78" s="196">
        <v>18174.907749077491</v>
      </c>
      <c r="E78" s="40"/>
      <c r="F78" s="40"/>
      <c r="G78" s="7"/>
      <c r="H78" s="7"/>
      <c r="I78" s="7"/>
      <c r="J78" s="7"/>
      <c r="K78" s="7"/>
      <c r="L78" s="40"/>
      <c r="M78" s="40"/>
      <c r="N78" s="40"/>
      <c r="O78" s="40"/>
      <c r="P78" s="7"/>
      <c r="Q78" s="40"/>
      <c r="R78" s="40"/>
      <c r="S78" s="7"/>
      <c r="T78" s="7"/>
      <c r="U78" s="7"/>
      <c r="V78" s="7"/>
      <c r="W78" s="40"/>
    </row>
    <row r="79" spans="1:23" s="41" customFormat="1">
      <c r="A79" s="194" t="s">
        <v>205</v>
      </c>
      <c r="B79" s="195" t="s">
        <v>104</v>
      </c>
      <c r="C79" s="196">
        <v>117193</v>
      </c>
      <c r="D79" s="196">
        <v>14414.883148831486</v>
      </c>
      <c r="E79" s="40"/>
      <c r="F79" s="40"/>
      <c r="G79" s="7"/>
      <c r="H79" s="7"/>
      <c r="I79" s="7"/>
      <c r="J79" s="7"/>
      <c r="K79" s="7"/>
      <c r="L79" s="40"/>
      <c r="M79" s="40"/>
      <c r="N79" s="40"/>
      <c r="O79" s="40"/>
      <c r="P79" s="40"/>
      <c r="Q79" s="40"/>
      <c r="R79" s="40"/>
      <c r="S79" s="7"/>
      <c r="T79" s="7"/>
      <c r="U79" s="7"/>
      <c r="V79" s="40"/>
      <c r="W79" s="40"/>
    </row>
    <row r="80" spans="1:23" s="41" customFormat="1">
      <c r="A80" s="194" t="s">
        <v>241</v>
      </c>
      <c r="B80" s="195" t="s">
        <v>104</v>
      </c>
      <c r="C80" s="196">
        <v>119329</v>
      </c>
      <c r="D80" s="196">
        <v>14677.613776137759</v>
      </c>
      <c r="E80" s="40"/>
      <c r="F80" s="40"/>
      <c r="G80" s="7"/>
      <c r="H80" s="7"/>
      <c r="I80" s="7"/>
      <c r="J80" s="7"/>
      <c r="K80" s="7"/>
      <c r="L80" s="40"/>
      <c r="M80" s="40"/>
      <c r="N80" s="40"/>
      <c r="O80" s="40"/>
      <c r="P80" s="40"/>
      <c r="Q80" s="40"/>
      <c r="R80" s="40"/>
      <c r="S80" s="7"/>
      <c r="T80" s="7"/>
      <c r="U80" s="7"/>
      <c r="V80" s="40"/>
      <c r="W80" s="40"/>
    </row>
    <row r="81" spans="1:23" s="41" customFormat="1">
      <c r="A81" s="194" t="s">
        <v>281</v>
      </c>
      <c r="B81" s="195" t="s">
        <v>104</v>
      </c>
      <c r="C81" s="196">
        <v>125458</v>
      </c>
      <c r="D81" s="196">
        <v>15431.488314883147</v>
      </c>
      <c r="E81" s="40"/>
      <c r="F81" s="40"/>
      <c r="G81" s="7"/>
      <c r="H81" s="7"/>
      <c r="I81" s="7"/>
      <c r="J81" s="7"/>
      <c r="K81" s="7"/>
      <c r="L81" s="40"/>
      <c r="M81" s="40"/>
      <c r="N81" s="40"/>
      <c r="O81" s="40"/>
      <c r="P81" s="40"/>
      <c r="Q81" s="40"/>
      <c r="R81" s="40"/>
      <c r="S81" s="7"/>
      <c r="T81" s="7"/>
      <c r="U81" s="7"/>
      <c r="V81" s="40"/>
      <c r="W81" s="40"/>
    </row>
    <row r="82" spans="1:23" s="41" customFormat="1">
      <c r="A82" s="194" t="s">
        <v>242</v>
      </c>
      <c r="B82" s="195" t="s">
        <v>84</v>
      </c>
      <c r="C82" s="196">
        <v>161181</v>
      </c>
      <c r="D82" s="196">
        <v>19825.461254612543</v>
      </c>
      <c r="E82" s="40"/>
      <c r="F82" s="40"/>
      <c r="G82" s="7"/>
      <c r="H82" s="7"/>
      <c r="I82" s="7"/>
      <c r="J82" s="7"/>
      <c r="K82" s="7"/>
      <c r="L82" s="40"/>
      <c r="M82" s="40"/>
      <c r="N82" s="40"/>
      <c r="O82" s="40"/>
      <c r="P82" s="40"/>
      <c r="Q82" s="40"/>
      <c r="R82" s="40"/>
      <c r="S82" s="7"/>
      <c r="T82" s="7"/>
      <c r="U82" s="7"/>
      <c r="V82" s="40"/>
      <c r="W82" s="40"/>
    </row>
    <row r="83" spans="1:23" s="41" customFormat="1">
      <c r="A83" s="301" t="s">
        <v>182</v>
      </c>
      <c r="B83" s="302"/>
      <c r="C83" s="199">
        <f>SUM(C71:C82)</f>
        <v>5742838.7800000003</v>
      </c>
      <c r="D83" s="199">
        <f>SUM(D71:D82)</f>
        <v>706376.2337023369</v>
      </c>
      <c r="E83" s="40"/>
      <c r="F83" s="40"/>
      <c r="G83" s="7"/>
      <c r="H83" s="7"/>
      <c r="I83" s="7"/>
      <c r="J83" s="7"/>
      <c r="K83" s="7"/>
      <c r="L83" s="40"/>
      <c r="M83" s="40"/>
      <c r="N83" s="40"/>
      <c r="O83" s="40"/>
      <c r="P83" s="40"/>
      <c r="Q83" s="40"/>
      <c r="R83" s="7"/>
      <c r="S83" s="40"/>
      <c r="T83" s="40"/>
      <c r="U83" s="40"/>
      <c r="V83" s="40"/>
      <c r="W83" s="40"/>
    </row>
    <row r="84" spans="1:23" s="41" customFormat="1">
      <c r="A84" s="311" t="s">
        <v>80</v>
      </c>
      <c r="B84" s="312"/>
      <c r="C84" s="312"/>
      <c r="D84" s="313"/>
      <c r="E84" s="40"/>
      <c r="F84" s="40"/>
      <c r="G84" s="7"/>
      <c r="H84" s="7"/>
      <c r="I84" s="7"/>
      <c r="J84" s="7"/>
      <c r="K84" s="7"/>
      <c r="L84" s="7"/>
      <c r="M84" s="40"/>
      <c r="N84" s="40"/>
      <c r="O84" s="40"/>
      <c r="P84" s="40"/>
      <c r="Q84" s="40"/>
      <c r="R84" s="7"/>
      <c r="S84" s="40"/>
      <c r="T84" s="40"/>
      <c r="U84" s="40"/>
      <c r="V84" s="40"/>
      <c r="W84" s="40"/>
    </row>
    <row r="85" spans="1:23">
      <c r="A85" s="194" t="s">
        <v>277</v>
      </c>
      <c r="B85" s="195" t="s">
        <v>111</v>
      </c>
      <c r="C85" s="196">
        <f>82332+674</f>
        <v>83006</v>
      </c>
      <c r="D85" s="196">
        <v>10126.937269372693</v>
      </c>
      <c r="E85" s="56"/>
      <c r="P85" s="40"/>
      <c r="S85" s="40"/>
      <c r="T85" s="40"/>
      <c r="U85" s="40"/>
      <c r="V85" s="40"/>
    </row>
    <row r="86" spans="1:23">
      <c r="A86" s="194" t="s">
        <v>278</v>
      </c>
      <c r="B86" s="195" t="s">
        <v>85</v>
      </c>
      <c r="C86" s="196">
        <v>487400</v>
      </c>
      <c r="D86" s="196">
        <v>59950.799507995071</v>
      </c>
      <c r="S86" s="40"/>
      <c r="T86" s="40"/>
      <c r="U86" s="40"/>
    </row>
    <row r="87" spans="1:23">
      <c r="A87" s="303" t="s">
        <v>80</v>
      </c>
      <c r="B87" s="304"/>
      <c r="C87" s="197">
        <f>SUM(C85:C86)</f>
        <v>570406</v>
      </c>
      <c r="D87" s="197">
        <f>SUM(D85:D86)</f>
        <v>70077.736777367769</v>
      </c>
      <c r="L87" s="7" t="s">
        <v>2</v>
      </c>
      <c r="S87" s="40"/>
      <c r="T87" s="40"/>
      <c r="U87" s="40"/>
    </row>
    <row r="88" spans="1:23" ht="15" thickBot="1">
      <c r="A88" s="203" t="s">
        <v>203</v>
      </c>
      <c r="B88" s="204"/>
      <c r="C88" s="205">
        <f>+C37+C41+C69+C83+C87+C16</f>
        <v>54959197.213</v>
      </c>
      <c r="D88" s="206">
        <f>+D37+D41+D69+D83+D87+D16</f>
        <v>6759965.954858548</v>
      </c>
      <c r="S88" s="40"/>
      <c r="T88" s="40"/>
      <c r="U88" s="40"/>
    </row>
    <row r="89" spans="1:23">
      <c r="A89" s="7"/>
      <c r="B89" s="7"/>
      <c r="C89" s="7" t="s">
        <v>2</v>
      </c>
      <c r="D89" s="7"/>
      <c r="S89" s="40"/>
      <c r="T89" s="40"/>
      <c r="U89" s="40"/>
    </row>
    <row r="90" spans="1:23" ht="15" thickBot="1">
      <c r="A90" s="40"/>
      <c r="B90" s="40"/>
      <c r="C90" s="40"/>
      <c r="D90" s="40"/>
    </row>
    <row r="91" spans="1:23" ht="15" thickBot="1">
      <c r="A91" s="308" t="s">
        <v>276</v>
      </c>
      <c r="B91" s="309"/>
      <c r="C91" s="309"/>
      <c r="D91" s="310"/>
    </row>
    <row r="92" spans="1:23">
      <c r="A92" s="295" t="s">
        <v>69</v>
      </c>
      <c r="B92" s="297" t="s">
        <v>70</v>
      </c>
      <c r="C92" s="299" t="s">
        <v>71</v>
      </c>
      <c r="D92" s="299" t="s">
        <v>72</v>
      </c>
    </row>
    <row r="93" spans="1:23">
      <c r="A93" s="296"/>
      <c r="B93" s="298"/>
      <c r="C93" s="300"/>
      <c r="D93" s="300"/>
    </row>
    <row r="94" spans="1:23">
      <c r="A94" s="207" t="s">
        <v>289</v>
      </c>
      <c r="B94" s="208" t="s">
        <v>273</v>
      </c>
      <c r="C94" s="196">
        <v>4008320</v>
      </c>
      <c r="D94" s="209">
        <v>493028.29028290277</v>
      </c>
    </row>
    <row r="95" spans="1:23" ht="15.75" customHeight="1">
      <c r="A95" s="207" t="s">
        <v>289</v>
      </c>
      <c r="B95" s="208" t="s">
        <v>274</v>
      </c>
      <c r="C95" s="210">
        <v>4050450.5</v>
      </c>
      <c r="D95" s="209">
        <v>498210.39360393601</v>
      </c>
    </row>
    <row r="96" spans="1:23" ht="15.75" customHeight="1">
      <c r="A96" s="207" t="s">
        <v>261</v>
      </c>
      <c r="B96" s="208" t="s">
        <v>219</v>
      </c>
      <c r="C96" s="196">
        <v>1293700</v>
      </c>
      <c r="D96" s="209">
        <v>159126.69126691265</v>
      </c>
    </row>
    <row r="97" spans="1:23">
      <c r="A97" s="207" t="s">
        <v>262</v>
      </c>
      <c r="B97" s="208" t="s">
        <v>268</v>
      </c>
      <c r="C97" s="196">
        <v>1025732</v>
      </c>
      <c r="D97" s="209">
        <v>126166.29766297662</v>
      </c>
    </row>
    <row r="98" spans="1:23">
      <c r="A98" s="207" t="s">
        <v>227</v>
      </c>
      <c r="B98" s="208" t="s">
        <v>271</v>
      </c>
      <c r="C98" s="196">
        <v>505563</v>
      </c>
      <c r="D98" s="209">
        <v>62184.87084870848</v>
      </c>
    </row>
    <row r="99" spans="1:23" s="54" customFormat="1">
      <c r="A99" s="207" t="s">
        <v>290</v>
      </c>
      <c r="B99" s="208" t="s">
        <v>291</v>
      </c>
      <c r="C99" s="196">
        <v>38888</v>
      </c>
      <c r="D99" s="209">
        <v>4783.2718327183266</v>
      </c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1:23">
      <c r="A100" s="207" t="s">
        <v>292</v>
      </c>
      <c r="B100" s="208" t="s">
        <v>111</v>
      </c>
      <c r="C100" s="196">
        <v>83220</v>
      </c>
      <c r="D100" s="209">
        <v>10236.162361623616</v>
      </c>
    </row>
    <row r="101" spans="1:23" s="54" customFormat="1">
      <c r="A101" s="207" t="s">
        <v>293</v>
      </c>
      <c r="B101" s="208" t="s">
        <v>111</v>
      </c>
      <c r="C101" s="196">
        <v>502495.55</v>
      </c>
      <c r="D101" s="209">
        <v>61807.57072570725</v>
      </c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</row>
    <row r="102" spans="1:23" s="54" customFormat="1">
      <c r="A102" s="207" t="s">
        <v>294</v>
      </c>
      <c r="B102" s="208" t="s">
        <v>111</v>
      </c>
      <c r="C102" s="196">
        <v>85824.11</v>
      </c>
      <c r="D102" s="209">
        <v>10556.471094710947</v>
      </c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 spans="1:23" ht="15" thickBot="1">
      <c r="A103" s="291" t="s">
        <v>81</v>
      </c>
      <c r="B103" s="292"/>
      <c r="C103" s="211">
        <f>SUM(C94:C102)</f>
        <v>11594193.16</v>
      </c>
      <c r="D103" s="211">
        <f>SUM(D94:D102)</f>
        <v>1426100.0196801971</v>
      </c>
    </row>
    <row r="104" spans="1:23">
      <c r="A104" s="7"/>
      <c r="B104" s="7"/>
      <c r="C104" s="7"/>
      <c r="D104" s="7"/>
    </row>
    <row r="105" spans="1:23">
      <c r="A105" s="7"/>
      <c r="B105" s="7"/>
      <c r="C105" s="7"/>
      <c r="D105" s="7"/>
    </row>
    <row r="106" spans="1:23">
      <c r="A106" s="7"/>
      <c r="B106" s="7"/>
      <c r="C106" s="7"/>
      <c r="D106" s="7"/>
    </row>
    <row r="107" spans="1:23">
      <c r="A107" s="7"/>
      <c r="B107" s="7"/>
      <c r="C107" s="7"/>
      <c r="D107" s="7"/>
    </row>
    <row r="108" spans="1:23">
      <c r="A108" s="7"/>
      <c r="B108" s="7"/>
      <c r="C108" s="7"/>
      <c r="D108" s="7"/>
    </row>
    <row r="109" spans="1:23">
      <c r="A109" s="7"/>
      <c r="B109" s="7"/>
      <c r="C109" s="7"/>
      <c r="D109" s="7"/>
    </row>
    <row r="110" spans="1:23">
      <c r="A110" s="7"/>
      <c r="B110" s="7"/>
      <c r="C110" s="7"/>
      <c r="D110" s="7"/>
    </row>
    <row r="111" spans="1:23">
      <c r="A111" s="7"/>
      <c r="B111" s="7"/>
      <c r="C111" s="7"/>
      <c r="D111" s="7"/>
    </row>
    <row r="112" spans="1:23">
      <c r="A112" s="7"/>
      <c r="B112" s="7"/>
      <c r="C112" s="7"/>
      <c r="D112" s="7"/>
    </row>
    <row r="113" spans="1:23">
      <c r="A113" s="7"/>
      <c r="B113" s="7"/>
      <c r="C113" s="7"/>
      <c r="D113" s="7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</row>
    <row r="114" spans="1:23">
      <c r="A114" s="7"/>
      <c r="B114" s="7"/>
      <c r="C114" s="7"/>
      <c r="D114" s="7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</row>
    <row r="115" spans="1:23">
      <c r="A115" s="7"/>
      <c r="B115" s="7"/>
      <c r="C115" s="7"/>
      <c r="D115" s="7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</row>
    <row r="116" spans="1:23">
      <c r="A116" s="7"/>
      <c r="B116" s="7"/>
      <c r="C116" s="7"/>
      <c r="D116" s="7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</row>
    <row r="117" spans="1:23">
      <c r="A117" s="7"/>
      <c r="B117" s="7"/>
      <c r="C117" s="7"/>
      <c r="D117" s="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</row>
  </sheetData>
  <sortState ref="H22:J40">
    <sortCondition descending="1" ref="H22"/>
  </sortState>
  <mergeCells count="24">
    <mergeCell ref="A103:B103"/>
    <mergeCell ref="A69:B69"/>
    <mergeCell ref="A92:A93"/>
    <mergeCell ref="B92:B93"/>
    <mergeCell ref="C92:C93"/>
    <mergeCell ref="D92:D93"/>
    <mergeCell ref="A83:B83"/>
    <mergeCell ref="A87:B87"/>
    <mergeCell ref="A37:B37"/>
    <mergeCell ref="Q1:T1"/>
    <mergeCell ref="Q2:Q17"/>
    <mergeCell ref="R2:R17"/>
    <mergeCell ref="A16:B16"/>
    <mergeCell ref="A1:A2"/>
    <mergeCell ref="B1:B2"/>
    <mergeCell ref="C1:C2"/>
    <mergeCell ref="D1:D2"/>
    <mergeCell ref="S42:S43"/>
    <mergeCell ref="Q41:S41"/>
    <mergeCell ref="S2:S17"/>
    <mergeCell ref="Q18:S18"/>
    <mergeCell ref="Q44:S44"/>
    <mergeCell ref="Q42:Q43"/>
    <mergeCell ref="R42:R4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E58"/>
  <sheetViews>
    <sheetView workbookViewId="0">
      <selection activeCell="A12" sqref="A12:XFD12"/>
    </sheetView>
  </sheetViews>
  <sheetFormatPr defaultColWidth="7.88671875" defaultRowHeight="14.4"/>
  <cols>
    <col min="1" max="1" width="45.77734375" style="1" customWidth="1"/>
    <col min="2" max="2" width="12.6640625" style="3" customWidth="1"/>
    <col min="3" max="3" width="16.109375" customWidth="1"/>
  </cols>
  <sheetData>
    <row r="1" spans="1:5" ht="17.25" customHeight="1">
      <c r="A1" s="49" t="s">
        <v>206</v>
      </c>
      <c r="B1" s="35"/>
      <c r="C1" s="36"/>
      <c r="D1" s="7"/>
      <c r="E1" s="7"/>
    </row>
    <row r="2" spans="1:5" ht="16.5" customHeight="1" thickBot="1">
      <c r="A2" s="50" t="s">
        <v>87</v>
      </c>
      <c r="B2" s="51">
        <v>8.69</v>
      </c>
      <c r="C2" s="51">
        <v>8.2050000000000001</v>
      </c>
      <c r="D2" s="7" t="s">
        <v>200</v>
      </c>
      <c r="E2" s="7"/>
    </row>
    <row r="3" spans="1:5" ht="16.2" thickBot="1">
      <c r="A3" s="239" t="s">
        <v>52</v>
      </c>
      <c r="B3" s="240">
        <v>43465</v>
      </c>
      <c r="C3" s="250">
        <v>43100</v>
      </c>
      <c r="D3" s="7"/>
      <c r="E3" s="7"/>
    </row>
    <row r="4" spans="1:5" ht="21" customHeight="1">
      <c r="A4" s="44" t="s">
        <v>55</v>
      </c>
      <c r="B4" s="45"/>
      <c r="C4" s="251"/>
      <c r="D4" s="7"/>
      <c r="E4" s="7"/>
    </row>
    <row r="5" spans="1:5" ht="18.75" customHeight="1">
      <c r="A5" s="46" t="s">
        <v>53</v>
      </c>
      <c r="B5" s="43">
        <v>18.109321058688149</v>
      </c>
      <c r="C5" s="252">
        <v>32</v>
      </c>
      <c r="D5" s="7"/>
      <c r="E5" s="7"/>
    </row>
    <row r="6" spans="1:5" ht="21" customHeight="1">
      <c r="A6" s="44" t="s">
        <v>54</v>
      </c>
      <c r="B6" s="43">
        <f>+B5</f>
        <v>18.109321058688149</v>
      </c>
      <c r="C6" s="252">
        <f>+C5</f>
        <v>32</v>
      </c>
      <c r="D6" s="7"/>
      <c r="E6" s="7"/>
    </row>
    <row r="7" spans="1:5" ht="21" customHeight="1">
      <c r="A7" s="47" t="s">
        <v>90</v>
      </c>
      <c r="B7" s="43">
        <v>240.66881472957422</v>
      </c>
      <c r="C7" s="252">
        <v>366</v>
      </c>
      <c r="D7" s="7"/>
      <c r="E7" s="7"/>
    </row>
    <row r="8" spans="1:5" s="4" customFormat="1" ht="21" customHeight="1">
      <c r="A8" s="47" t="s">
        <v>91</v>
      </c>
      <c r="B8" s="43">
        <v>33.63981588032221</v>
      </c>
      <c r="C8" s="252">
        <v>24</v>
      </c>
      <c r="D8" s="7"/>
      <c r="E8" s="9"/>
    </row>
    <row r="9" spans="1:5" s="4" customFormat="1" ht="21" customHeight="1">
      <c r="A9" s="44" t="s">
        <v>56</v>
      </c>
      <c r="B9" s="43">
        <f>SUM(B7:B8)</f>
        <v>274.30863060989645</v>
      </c>
      <c r="C9" s="252">
        <v>390</v>
      </c>
      <c r="D9" s="7"/>
      <c r="E9" s="9"/>
    </row>
    <row r="10" spans="1:5" s="4" customFormat="1" ht="21" customHeight="1">
      <c r="A10" s="44" t="s">
        <v>59</v>
      </c>
      <c r="B10" s="43">
        <v>3495.3113924050631</v>
      </c>
      <c r="C10" s="252">
        <v>3196.9319926873859</v>
      </c>
      <c r="D10" s="7"/>
      <c r="E10" s="9"/>
    </row>
    <row r="11" spans="1:5" s="4" customFormat="1" ht="21" customHeight="1">
      <c r="A11" s="44" t="s">
        <v>57</v>
      </c>
      <c r="B11" s="43">
        <f>+B10+B9</f>
        <v>3769.6200230149598</v>
      </c>
      <c r="C11" s="252">
        <f>+C10+C9</f>
        <v>3586.9319926873859</v>
      </c>
      <c r="D11" s="7"/>
      <c r="E11" s="9"/>
    </row>
    <row r="12" spans="1:5" s="4" customFormat="1" ht="18" customHeight="1">
      <c r="A12" s="241" t="s">
        <v>58</v>
      </c>
      <c r="B12" s="242">
        <f>+B11+B6</f>
        <v>3787.729344073648</v>
      </c>
      <c r="C12" s="253">
        <f>+C11+C6</f>
        <v>3618.9319926873859</v>
      </c>
      <c r="D12" s="7"/>
      <c r="E12" s="9"/>
    </row>
    <row r="13" spans="1:5" s="5" customFormat="1" ht="21" customHeight="1">
      <c r="A13" s="44" t="s">
        <v>60</v>
      </c>
      <c r="B13" s="48"/>
      <c r="C13" s="254"/>
      <c r="D13" s="7"/>
      <c r="E13" s="10"/>
    </row>
    <row r="14" spans="1:5" s="5" customFormat="1" ht="21" customHeight="1">
      <c r="A14" s="46" t="s">
        <v>4</v>
      </c>
      <c r="B14" s="43">
        <v>1799</v>
      </c>
      <c r="C14" s="252">
        <v>566</v>
      </c>
      <c r="D14" s="7"/>
      <c r="E14" s="10"/>
    </row>
    <row r="15" spans="1:5" s="5" customFormat="1" ht="21" customHeight="1">
      <c r="A15" s="46" t="s">
        <v>64</v>
      </c>
      <c r="B15" s="43">
        <v>1179.3306535055353</v>
      </c>
      <c r="C15" s="255">
        <v>1196</v>
      </c>
      <c r="D15" s="7"/>
      <c r="E15" s="10"/>
    </row>
    <row r="16" spans="1:5" s="5" customFormat="1" ht="21" customHeight="1">
      <c r="A16" s="46" t="s">
        <v>65</v>
      </c>
      <c r="B16" s="43">
        <v>-176</v>
      </c>
      <c r="C16" s="255">
        <v>37</v>
      </c>
      <c r="D16" s="7"/>
      <c r="E16" s="10"/>
    </row>
    <row r="17" spans="1:5" s="5" customFormat="1" ht="21" customHeight="1">
      <c r="A17" s="44" t="s">
        <v>61</v>
      </c>
      <c r="B17" s="43">
        <f>SUM(B14:B16)</f>
        <v>2802.3306535055353</v>
      </c>
      <c r="C17" s="252">
        <f>SUM(C14:C16)</f>
        <v>1799</v>
      </c>
      <c r="D17" s="7"/>
      <c r="E17" s="10"/>
    </row>
    <row r="18" spans="1:5" s="5" customFormat="1" ht="21" customHeight="1">
      <c r="A18" s="46" t="s">
        <v>92</v>
      </c>
      <c r="B18" s="43">
        <v>147.31346375143843</v>
      </c>
      <c r="C18" s="252">
        <v>0</v>
      </c>
      <c r="D18" s="7"/>
      <c r="E18" s="10"/>
    </row>
    <row r="19" spans="1:5" s="5" customFormat="1" ht="21" customHeight="1">
      <c r="A19" s="47" t="s">
        <v>5</v>
      </c>
      <c r="B19" s="43">
        <v>181.81288837744535</v>
      </c>
      <c r="C19" s="252">
        <v>219</v>
      </c>
      <c r="D19" s="7"/>
      <c r="E19" s="10"/>
    </row>
    <row r="20" spans="1:5" s="5" customFormat="1" ht="21" customHeight="1">
      <c r="A20" s="46" t="s">
        <v>66</v>
      </c>
      <c r="B20" s="43">
        <v>656.4596087456847</v>
      </c>
      <c r="C20" s="252">
        <v>1601</v>
      </c>
      <c r="D20" s="7"/>
      <c r="E20" s="10"/>
    </row>
    <row r="21" spans="1:5" s="5" customFormat="1" ht="21" customHeight="1">
      <c r="A21" s="44" t="s">
        <v>62</v>
      </c>
      <c r="B21" s="43">
        <f>SUM(B18:B20)</f>
        <v>985.58596087456851</v>
      </c>
      <c r="C21" s="252">
        <f>SUM(C18:C20)</f>
        <v>1820</v>
      </c>
      <c r="D21" s="7"/>
      <c r="E21" s="10"/>
    </row>
    <row r="22" spans="1:5" ht="16.5" customHeight="1">
      <c r="A22" s="243" t="s">
        <v>63</v>
      </c>
      <c r="B22" s="242">
        <f>+B21+B17</f>
        <v>3787.916614380104</v>
      </c>
      <c r="C22" s="253">
        <f>+C21+C17</f>
        <v>3619</v>
      </c>
      <c r="D22" s="7"/>
      <c r="E22" s="7"/>
    </row>
    <row r="23" spans="1:5" s="2" customFormat="1" ht="21" customHeight="1">
      <c r="A23" s="36"/>
      <c r="B23" s="38"/>
      <c r="C23" s="38"/>
      <c r="D23" s="34"/>
      <c r="E23" s="34"/>
    </row>
    <row r="24" spans="1:5" s="3" customFormat="1" ht="13.2">
      <c r="A24" s="37"/>
      <c r="B24" s="37"/>
      <c r="C24" s="37"/>
      <c r="D24" s="37"/>
      <c r="E24" s="37"/>
    </row>
    <row r="25" spans="1:5" s="3" customFormat="1" ht="13.2">
      <c r="A25" s="37"/>
      <c r="B25" s="37"/>
      <c r="C25" s="37"/>
      <c r="D25" s="37"/>
      <c r="E25" s="37"/>
    </row>
    <row r="26" spans="1:5" s="3" customFormat="1" ht="13.2">
      <c r="A26" s="37"/>
      <c r="B26" s="37"/>
      <c r="C26" s="37"/>
      <c r="D26" s="37"/>
      <c r="E26" s="37"/>
    </row>
    <row r="27" spans="1:5" s="3" customFormat="1" ht="13.2">
      <c r="A27" s="37"/>
      <c r="B27" s="37"/>
      <c r="C27" s="37"/>
      <c r="D27" s="37"/>
      <c r="E27" s="37"/>
    </row>
    <row r="28" spans="1:5" s="3" customFormat="1" ht="13.2">
      <c r="A28" s="37"/>
      <c r="B28" s="37"/>
      <c r="C28" s="37"/>
      <c r="D28" s="37"/>
      <c r="E28" s="37"/>
    </row>
    <row r="29" spans="1:5" s="3" customFormat="1" ht="13.2">
      <c r="A29" s="37"/>
      <c r="B29" s="37"/>
      <c r="C29" s="37"/>
      <c r="D29" s="37"/>
      <c r="E29" s="37"/>
    </row>
    <row r="30" spans="1:5" s="3" customFormat="1" ht="13.2">
      <c r="A30" s="37"/>
      <c r="B30" s="37"/>
      <c r="C30" s="37"/>
      <c r="D30" s="37"/>
      <c r="E30" s="37"/>
    </row>
    <row r="31" spans="1:5" s="3" customFormat="1" ht="13.2">
      <c r="A31" s="37"/>
      <c r="B31" s="37"/>
      <c r="C31" s="37"/>
      <c r="D31" s="37"/>
      <c r="E31" s="37"/>
    </row>
    <row r="32" spans="1:5" s="3" customFormat="1" ht="13.2">
      <c r="A32" s="37"/>
      <c r="B32" s="37"/>
      <c r="C32" s="37"/>
      <c r="D32" s="37"/>
      <c r="E32" s="37"/>
    </row>
    <row r="33" spans="1:5">
      <c r="A33" s="7"/>
      <c r="B33" s="37"/>
      <c r="C33" s="7"/>
      <c r="D33" s="7"/>
      <c r="E33" s="7"/>
    </row>
    <row r="34" spans="1:5">
      <c r="A34" s="7"/>
      <c r="B34" s="37"/>
      <c r="C34" s="7"/>
      <c r="D34" s="7"/>
      <c r="E34" s="7"/>
    </row>
    <row r="35" spans="1:5">
      <c r="A35" s="7"/>
      <c r="B35" s="37"/>
      <c r="C35" s="7"/>
      <c r="D35" s="7"/>
      <c r="E35" s="7"/>
    </row>
    <row r="36" spans="1:5">
      <c r="A36" s="7"/>
      <c r="B36" s="37"/>
      <c r="C36" s="7"/>
      <c r="D36" s="7"/>
      <c r="E36" s="7"/>
    </row>
    <row r="37" spans="1:5">
      <c r="A37" s="7"/>
      <c r="B37" s="37"/>
      <c r="C37" s="7"/>
      <c r="D37" s="7"/>
      <c r="E37" s="7"/>
    </row>
    <row r="38" spans="1:5">
      <c r="A38" s="7"/>
      <c r="B38" s="37"/>
      <c r="C38" s="7"/>
      <c r="D38" s="7"/>
      <c r="E38" s="7"/>
    </row>
    <row r="39" spans="1:5">
      <c r="A39" s="7"/>
      <c r="B39" s="37"/>
      <c r="C39" s="7"/>
    </row>
    <row r="40" spans="1:5">
      <c r="A40" s="7"/>
      <c r="B40" s="37"/>
      <c r="C40" s="7"/>
    </row>
    <row r="41" spans="1:5">
      <c r="A41" s="7"/>
      <c r="B41" s="37"/>
      <c r="C41" s="7"/>
    </row>
    <row r="42" spans="1:5">
      <c r="A42" s="7"/>
      <c r="B42" s="37"/>
      <c r="C42" s="7"/>
    </row>
    <row r="43" spans="1:5">
      <c r="A43" s="7"/>
      <c r="B43" s="37"/>
      <c r="C43" s="7"/>
    </row>
    <row r="44" spans="1:5">
      <c r="A44" s="7"/>
      <c r="B44" s="37"/>
      <c r="C44" s="7"/>
    </row>
    <row r="45" spans="1:5">
      <c r="A45" s="7"/>
      <c r="B45" s="37"/>
      <c r="C45" s="7"/>
    </row>
    <row r="46" spans="1:5">
      <c r="A46" s="7"/>
      <c r="B46" s="37"/>
      <c r="C46" s="7"/>
    </row>
    <row r="47" spans="1:5">
      <c r="A47" s="7"/>
      <c r="B47" s="37"/>
      <c r="C47" s="7"/>
    </row>
    <row r="48" spans="1:5">
      <c r="A48" s="7"/>
      <c r="B48" s="37"/>
      <c r="C48" s="7"/>
    </row>
    <row r="49" spans="1:3">
      <c r="A49" s="7"/>
      <c r="B49" s="37"/>
      <c r="C49" s="7"/>
    </row>
    <row r="50" spans="1:3">
      <c r="A50" s="7"/>
      <c r="B50" s="37"/>
      <c r="C50" s="7"/>
    </row>
    <row r="51" spans="1:3">
      <c r="A51" s="7"/>
      <c r="B51" s="37"/>
      <c r="C51" s="7"/>
    </row>
    <row r="52" spans="1:3">
      <c r="A52" s="7"/>
      <c r="B52" s="37"/>
      <c r="C52" s="7"/>
    </row>
    <row r="53" spans="1:3">
      <c r="A53" s="7"/>
      <c r="B53" s="37"/>
      <c r="C53" s="7"/>
    </row>
    <row r="54" spans="1:3">
      <c r="A54" s="7"/>
      <c r="B54" s="37"/>
      <c r="C54" s="7"/>
    </row>
    <row r="55" spans="1:3">
      <c r="A55" s="7"/>
      <c r="B55" s="37"/>
      <c r="C55" s="7"/>
    </row>
    <row r="56" spans="1:3">
      <c r="A56" s="7"/>
      <c r="B56" s="37"/>
      <c r="C56" s="7"/>
    </row>
    <row r="57" spans="1:3">
      <c r="A57" s="7"/>
      <c r="B57" s="37"/>
      <c r="C57" s="7"/>
    </row>
    <row r="58" spans="1:3">
      <c r="A58" s="7"/>
      <c r="B58" s="37"/>
      <c r="C58" s="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R48"/>
  <sheetViews>
    <sheetView showGridLines="0" zoomScale="70" zoomScaleNormal="70" zoomScalePageLayoutView="70" workbookViewId="0">
      <selection activeCell="C33" sqref="C33"/>
    </sheetView>
  </sheetViews>
  <sheetFormatPr defaultColWidth="23.44140625" defaultRowHeight="14.4"/>
  <cols>
    <col min="1" max="1" width="23.44140625" style="1"/>
    <col min="3" max="6" width="23.44140625" style="3"/>
    <col min="7" max="7" width="23.44140625" style="12"/>
    <col min="10" max="10" width="23.44140625" style="54"/>
  </cols>
  <sheetData>
    <row r="1" spans="1:18" ht="30" customHeight="1">
      <c r="A1" s="21" t="s">
        <v>110</v>
      </c>
      <c r="B1" s="20"/>
      <c r="C1" s="19"/>
      <c r="D1" s="19"/>
      <c r="E1" s="19"/>
      <c r="F1" s="19"/>
      <c r="G1" s="22"/>
      <c r="H1" s="20"/>
      <c r="I1" s="20"/>
      <c r="J1" s="20"/>
      <c r="K1" s="20"/>
      <c r="L1" s="20"/>
      <c r="M1" s="20"/>
    </row>
    <row r="2" spans="1:18" ht="21">
      <c r="A2" s="15" t="s">
        <v>42</v>
      </c>
      <c r="B2" s="20"/>
      <c r="C2" s="19"/>
      <c r="D2" s="19"/>
      <c r="E2" s="19"/>
      <c r="F2" s="19"/>
      <c r="G2" s="22"/>
      <c r="H2" s="20"/>
      <c r="I2" s="20"/>
      <c r="J2" s="20"/>
      <c r="K2" s="20"/>
      <c r="L2" s="20"/>
      <c r="M2" s="20"/>
    </row>
    <row r="3" spans="1:18" ht="9.75" customHeight="1" thickBot="1">
      <c r="A3" s="15"/>
      <c r="B3" s="20"/>
      <c r="C3" s="19"/>
      <c r="D3" s="19"/>
      <c r="E3" s="19"/>
      <c r="F3" s="19"/>
      <c r="G3" s="22"/>
      <c r="H3" s="20"/>
      <c r="I3" s="20"/>
      <c r="J3" s="20"/>
      <c r="K3" s="20"/>
      <c r="L3" s="20"/>
      <c r="M3" s="20"/>
      <c r="P3" s="8"/>
    </row>
    <row r="4" spans="1:18" ht="21.6" thickBot="1">
      <c r="A4" s="212" t="s">
        <v>51</v>
      </c>
      <c r="B4" s="213"/>
      <c r="C4" s="214" t="s">
        <v>2</v>
      </c>
      <c r="D4" s="215" t="s">
        <v>251</v>
      </c>
      <c r="E4" s="215"/>
      <c r="F4" s="215"/>
      <c r="G4" s="216" t="s">
        <v>113</v>
      </c>
      <c r="H4" s="217"/>
      <c r="I4" s="218"/>
      <c r="J4" s="218"/>
      <c r="K4" s="305" t="s">
        <v>211</v>
      </c>
      <c r="L4" s="306"/>
      <c r="M4" s="219" t="s">
        <v>44</v>
      </c>
      <c r="O4" t="s">
        <v>100</v>
      </c>
    </row>
    <row r="5" spans="1:18" ht="21" customHeight="1" thickBot="1">
      <c r="A5" s="220"/>
      <c r="B5" s="221"/>
      <c r="C5" s="222" t="s">
        <v>3</v>
      </c>
      <c r="D5" s="222" t="s">
        <v>43</v>
      </c>
      <c r="E5" s="222" t="s">
        <v>44</v>
      </c>
      <c r="F5" s="222" t="s">
        <v>44</v>
      </c>
      <c r="G5" s="222" t="s">
        <v>44</v>
      </c>
      <c r="H5" s="222" t="s">
        <v>44</v>
      </c>
      <c r="I5" s="222" t="s">
        <v>44</v>
      </c>
      <c r="J5" s="222" t="s">
        <v>22</v>
      </c>
      <c r="K5" s="223" t="s">
        <v>3</v>
      </c>
      <c r="L5" s="223" t="s">
        <v>43</v>
      </c>
      <c r="M5" s="223" t="s">
        <v>210</v>
      </c>
    </row>
    <row r="6" spans="1:18" ht="21" customHeight="1">
      <c r="A6" s="17"/>
      <c r="B6" s="29"/>
      <c r="C6" s="63" t="s">
        <v>2</v>
      </c>
      <c r="D6" s="63" t="s">
        <v>2</v>
      </c>
      <c r="E6" s="24" t="s">
        <v>2</v>
      </c>
      <c r="F6" s="63" t="s">
        <v>2</v>
      </c>
      <c r="G6" s="63" t="s">
        <v>2</v>
      </c>
      <c r="H6" s="24" t="s">
        <v>2</v>
      </c>
      <c r="I6" s="52" t="s">
        <v>2</v>
      </c>
      <c r="J6" s="52"/>
      <c r="K6" s="79" t="s">
        <v>2</v>
      </c>
      <c r="L6" s="24" t="s">
        <v>2</v>
      </c>
      <c r="M6" s="25" t="s">
        <v>2</v>
      </c>
      <c r="N6" s="2"/>
      <c r="P6" s="2"/>
      <c r="Q6" s="2"/>
      <c r="R6" s="2"/>
    </row>
    <row r="7" spans="1:18" s="54" customFormat="1" ht="21" customHeight="1">
      <c r="A7" s="17" t="s">
        <v>147</v>
      </c>
      <c r="B7" s="29"/>
      <c r="C7" s="63">
        <v>120</v>
      </c>
      <c r="D7" s="63">
        <v>200</v>
      </c>
      <c r="E7" s="24">
        <f>+C7-D7</f>
        <v>-80</v>
      </c>
      <c r="F7" s="63"/>
      <c r="G7" s="63"/>
      <c r="H7" s="24"/>
      <c r="I7" s="52"/>
      <c r="J7" s="52"/>
      <c r="K7" s="79">
        <v>105</v>
      </c>
      <c r="L7" s="24">
        <v>150</v>
      </c>
      <c r="M7" s="25">
        <f>+C7-K7</f>
        <v>15</v>
      </c>
      <c r="N7" s="2"/>
      <c r="P7" s="2"/>
      <c r="Q7" s="2"/>
      <c r="R7" s="2"/>
    </row>
    <row r="8" spans="1:18" s="54" customFormat="1" ht="21" customHeight="1">
      <c r="A8" s="17"/>
      <c r="B8" s="29"/>
      <c r="C8" s="63"/>
      <c r="D8" s="63"/>
      <c r="E8" s="24"/>
      <c r="F8" s="63"/>
      <c r="G8" s="63"/>
      <c r="H8" s="24"/>
      <c r="I8" s="52"/>
      <c r="J8" s="52"/>
      <c r="K8" s="79"/>
      <c r="L8" s="24"/>
      <c r="M8" s="25"/>
      <c r="N8" s="2"/>
      <c r="P8" s="2"/>
      <c r="Q8" s="2"/>
      <c r="R8" s="2"/>
    </row>
    <row r="9" spans="1:18" s="54" customFormat="1" ht="21" customHeight="1">
      <c r="A9" s="17" t="s">
        <v>212</v>
      </c>
      <c r="B9" s="29"/>
      <c r="C9" s="63"/>
      <c r="D9" s="63"/>
      <c r="E9" s="24"/>
      <c r="F9" s="63"/>
      <c r="G9" s="63"/>
      <c r="H9" s="24"/>
      <c r="I9" s="52"/>
      <c r="J9" s="52"/>
      <c r="K9" s="79"/>
      <c r="L9" s="24"/>
      <c r="M9" s="25"/>
      <c r="N9" s="2"/>
      <c r="P9" s="2"/>
      <c r="Q9" s="2"/>
      <c r="R9" s="2"/>
    </row>
    <row r="10" spans="1:18" ht="21" customHeight="1">
      <c r="A10" s="17" t="s">
        <v>209</v>
      </c>
      <c r="B10" s="29"/>
      <c r="C10" s="63" t="s">
        <v>2</v>
      </c>
      <c r="D10" s="63" t="s">
        <v>2</v>
      </c>
      <c r="E10" s="24" t="s">
        <v>2</v>
      </c>
      <c r="F10" s="63" t="s">
        <v>2</v>
      </c>
      <c r="G10" s="63" t="s">
        <v>2</v>
      </c>
      <c r="H10" s="24" t="s">
        <v>2</v>
      </c>
      <c r="I10" s="52" t="s">
        <v>2</v>
      </c>
      <c r="J10" s="52"/>
      <c r="K10" s="79" t="s">
        <v>2</v>
      </c>
      <c r="L10" s="24" t="s">
        <v>2</v>
      </c>
      <c r="M10" s="25" t="s">
        <v>2</v>
      </c>
      <c r="N10" s="2"/>
      <c r="P10" s="2"/>
      <c r="Q10" s="2"/>
      <c r="R10" s="2"/>
    </row>
    <row r="11" spans="1:18" s="54" customFormat="1" ht="21" customHeight="1">
      <c r="A11" s="18" t="s">
        <v>23</v>
      </c>
      <c r="B11" s="29"/>
      <c r="C11" s="63">
        <v>4782.6896289052893</v>
      </c>
      <c r="D11" s="63">
        <v>3785</v>
      </c>
      <c r="E11" s="24">
        <f>+C11-D11</f>
        <v>997.68962890528928</v>
      </c>
      <c r="F11" s="63">
        <v>0</v>
      </c>
      <c r="G11" s="63" t="e">
        <v>#REF!</v>
      </c>
      <c r="H11" s="24" t="e">
        <v>#REF!</v>
      </c>
      <c r="I11" s="52">
        <v>4438</v>
      </c>
      <c r="J11" s="52">
        <v>1.5296147261124677</v>
      </c>
      <c r="K11" s="79">
        <v>4684.8464727602905</v>
      </c>
      <c r="L11" s="24">
        <v>2750</v>
      </c>
      <c r="M11" s="25">
        <f t="shared" ref="M11:M12" si="0">+C11-K11</f>
        <v>97.843156144998829</v>
      </c>
      <c r="N11" s="2"/>
      <c r="P11" s="2"/>
      <c r="Q11" s="2"/>
      <c r="R11" s="2"/>
    </row>
    <row r="12" spans="1:18" s="2" customFormat="1" ht="21" customHeight="1">
      <c r="A12" s="18" t="s">
        <v>213</v>
      </c>
      <c r="B12" s="29"/>
      <c r="D12" s="63">
        <v>50</v>
      </c>
      <c r="E12" s="25">
        <f>+C12-D12</f>
        <v>-50</v>
      </c>
      <c r="J12" s="82" t="s">
        <v>2</v>
      </c>
      <c r="K12" s="79"/>
      <c r="L12" s="24">
        <v>10</v>
      </c>
      <c r="M12" s="25">
        <f t="shared" si="0"/>
        <v>0</v>
      </c>
      <c r="O12" s="54"/>
    </row>
    <row r="13" spans="1:18" s="2" customFormat="1" ht="21" customHeight="1">
      <c r="A13" s="18"/>
      <c r="B13" s="29"/>
      <c r="E13" s="25" t="s">
        <v>2</v>
      </c>
      <c r="J13" s="256"/>
      <c r="L13" s="24"/>
      <c r="M13" s="25"/>
      <c r="O13" s="54"/>
    </row>
    <row r="14" spans="1:18" s="2" customFormat="1" ht="21" customHeight="1">
      <c r="A14" s="17" t="s">
        <v>109</v>
      </c>
      <c r="B14" s="29"/>
      <c r="C14" s="63" t="s">
        <v>2</v>
      </c>
      <c r="D14" s="63" t="s">
        <v>2</v>
      </c>
      <c r="E14" s="24" t="s">
        <v>2</v>
      </c>
      <c r="F14" s="63" t="s">
        <v>2</v>
      </c>
      <c r="G14" s="63" t="s">
        <v>2</v>
      </c>
      <c r="H14" s="24" t="s">
        <v>2</v>
      </c>
      <c r="I14" s="52" t="s">
        <v>2</v>
      </c>
      <c r="J14" s="52"/>
      <c r="K14" s="79" t="s">
        <v>2</v>
      </c>
      <c r="L14" s="24" t="s">
        <v>2</v>
      </c>
      <c r="M14" s="25" t="s">
        <v>2</v>
      </c>
      <c r="O14"/>
    </row>
    <row r="15" spans="1:18" ht="21" customHeight="1">
      <c r="A15" s="26" t="s">
        <v>228</v>
      </c>
      <c r="B15" s="29"/>
      <c r="C15" s="63">
        <v>1051.7684305043051</v>
      </c>
      <c r="D15" s="63">
        <v>1000</v>
      </c>
      <c r="E15" s="24">
        <f t="shared" ref="E15:E18" si="1">+C15-D15</f>
        <v>51.768430504305115</v>
      </c>
      <c r="F15" s="63">
        <v>7.3464285714285715</v>
      </c>
      <c r="G15" s="63">
        <v>7.5</v>
      </c>
      <c r="H15" s="24">
        <v>-0.15357142857142847</v>
      </c>
      <c r="I15" s="52">
        <v>-0.26535714285714285</v>
      </c>
      <c r="J15" s="52">
        <v>-0.26535714285714285</v>
      </c>
      <c r="K15" s="79">
        <v>1130.4998595641646</v>
      </c>
      <c r="L15" s="24">
        <v>1580</v>
      </c>
      <c r="M15" s="25">
        <f t="shared" ref="M15:M18" si="2">+C15-K15</f>
        <v>-78.731429059859465</v>
      </c>
    </row>
    <row r="16" spans="1:18" s="4" customFormat="1" ht="21" customHeight="1">
      <c r="A16" s="26" t="s">
        <v>15</v>
      </c>
      <c r="B16" s="29"/>
      <c r="C16" s="63">
        <v>706.376233702337</v>
      </c>
      <c r="D16" s="63">
        <v>850</v>
      </c>
      <c r="E16" s="24">
        <f t="shared" si="1"/>
        <v>-143.623766297663</v>
      </c>
      <c r="F16" s="63">
        <v>1177.7280952380952</v>
      </c>
      <c r="G16" s="63">
        <v>1128.75</v>
      </c>
      <c r="H16" s="24">
        <v>48.978095238095193</v>
      </c>
      <c r="I16" s="52">
        <v>-2.2414761904761944E-2</v>
      </c>
      <c r="J16" s="52">
        <v>-2.2414761904761944E-2</v>
      </c>
      <c r="K16" s="79">
        <v>716.3069152542372</v>
      </c>
      <c r="L16" s="24">
        <v>950</v>
      </c>
      <c r="M16" s="25">
        <f t="shared" si="2"/>
        <v>-9.930681551900193</v>
      </c>
      <c r="O16"/>
    </row>
    <row r="17" spans="1:15" s="4" customFormat="1" ht="21" customHeight="1">
      <c r="A17" s="26" t="s">
        <v>16</v>
      </c>
      <c r="B17" s="29"/>
      <c r="C17" s="63">
        <v>29.423862238622387</v>
      </c>
      <c r="D17" s="63">
        <v>100</v>
      </c>
      <c r="E17" s="24">
        <f t="shared" si="1"/>
        <v>-70.576137761377609</v>
      </c>
      <c r="F17" s="63">
        <v>814.86329404761898</v>
      </c>
      <c r="G17" s="63">
        <v>563.25</v>
      </c>
      <c r="H17" s="24">
        <v>251.61329404761898</v>
      </c>
      <c r="I17" s="52">
        <v>8.5037675163274276E-2</v>
      </c>
      <c r="J17" s="52">
        <v>8.5037675163274276E-2</v>
      </c>
      <c r="K17" s="79">
        <v>20.383249394673125</v>
      </c>
      <c r="L17" s="24">
        <v>50</v>
      </c>
      <c r="M17" s="25">
        <f t="shared" si="2"/>
        <v>9.0406128439492619</v>
      </c>
      <c r="O17"/>
    </row>
    <row r="18" spans="1:15" s="4" customFormat="1" ht="21" customHeight="1">
      <c r="A18" s="26" t="s">
        <v>24</v>
      </c>
      <c r="B18" s="29"/>
      <c r="C18" s="63">
        <v>70.077736777367775</v>
      </c>
      <c r="D18" s="63">
        <v>15</v>
      </c>
      <c r="E18" s="24">
        <f t="shared" si="1"/>
        <v>55.077736777367775</v>
      </c>
      <c r="F18" s="63">
        <v>55.784523809523812</v>
      </c>
      <c r="G18" s="63">
        <v>3.75</v>
      </c>
      <c r="H18" s="24">
        <v>52.034523809523812</v>
      </c>
      <c r="I18" s="52">
        <v>10.156904761904762</v>
      </c>
      <c r="J18" s="52">
        <v>10.156904761904762</v>
      </c>
      <c r="K18" s="79">
        <v>73.771745762711859</v>
      </c>
      <c r="L18" s="24">
        <v>10</v>
      </c>
      <c r="M18" s="25">
        <f t="shared" si="2"/>
        <v>-3.6940089853440838</v>
      </c>
      <c r="O18"/>
    </row>
    <row r="19" spans="1:15" s="4" customFormat="1" ht="21" customHeight="1">
      <c r="A19" s="26"/>
      <c r="B19" s="29"/>
      <c r="C19" s="63"/>
      <c r="D19" s="63"/>
      <c r="E19" s="24"/>
      <c r="F19" s="63"/>
      <c r="G19" s="63"/>
      <c r="H19" s="24"/>
      <c r="I19" s="52"/>
      <c r="J19" s="52"/>
      <c r="K19" s="79"/>
      <c r="L19" s="24"/>
      <c r="M19" s="25"/>
      <c r="O19" s="54"/>
    </row>
    <row r="20" spans="1:15" s="4" customFormat="1" ht="21" customHeight="1">
      <c r="A20" s="17" t="s">
        <v>25</v>
      </c>
      <c r="B20" s="29"/>
      <c r="C20" s="63" t="s">
        <v>2</v>
      </c>
      <c r="D20" s="63"/>
      <c r="E20" s="24" t="s">
        <v>2</v>
      </c>
      <c r="F20" s="63" t="s">
        <v>2</v>
      </c>
      <c r="G20" s="24" t="s">
        <v>2</v>
      </c>
      <c r="H20" s="24" t="s">
        <v>2</v>
      </c>
      <c r="I20" s="24"/>
      <c r="J20" s="24"/>
      <c r="K20" s="79" t="s">
        <v>2</v>
      </c>
      <c r="L20" s="24"/>
      <c r="M20" s="25" t="s">
        <v>2</v>
      </c>
    </row>
    <row r="21" spans="1:15" s="4" customFormat="1" ht="21" customHeight="1">
      <c r="A21" s="26" t="s">
        <v>45</v>
      </c>
      <c r="B21" s="29"/>
      <c r="C21" s="63">
        <v>8</v>
      </c>
      <c r="D21" s="24">
        <v>0</v>
      </c>
      <c r="E21" s="24">
        <f>+C21-D21</f>
        <v>8</v>
      </c>
      <c r="F21" s="63">
        <v>0</v>
      </c>
      <c r="G21" s="24">
        <v>0</v>
      </c>
      <c r="H21" s="24">
        <v>0</v>
      </c>
      <c r="I21" s="24" t="s">
        <v>98</v>
      </c>
      <c r="J21" s="52" t="s">
        <v>2</v>
      </c>
      <c r="K21" s="79">
        <v>6</v>
      </c>
      <c r="L21" s="24">
        <v>0</v>
      </c>
      <c r="M21" s="25">
        <f>+C21-K21</f>
        <v>2</v>
      </c>
    </row>
    <row r="22" spans="1:15" s="4" customFormat="1" ht="23.25" customHeight="1">
      <c r="A22" s="180" t="s">
        <v>26</v>
      </c>
      <c r="B22" s="224"/>
      <c r="C22" s="182">
        <f>SUM(C7:C21)</f>
        <v>6768.3358921279214</v>
      </c>
      <c r="D22" s="182">
        <f>SUM(D7:D21)</f>
        <v>6000</v>
      </c>
      <c r="E22" s="182">
        <f>SUM(E7:E21)</f>
        <v>768.33589212792162</v>
      </c>
      <c r="F22" s="182">
        <f>SUM(F20:F21)</f>
        <v>0</v>
      </c>
      <c r="G22" s="182">
        <f>SUM(G20:G21)</f>
        <v>0</v>
      </c>
      <c r="H22" s="182">
        <f>SUM(H20:H21)</f>
        <v>0</v>
      </c>
      <c r="I22" s="225">
        <f>+E22/D22</f>
        <v>0.12805598202132026</v>
      </c>
      <c r="J22" s="225"/>
      <c r="K22" s="226">
        <f>SUM(K7:K21)</f>
        <v>6736.8082427360778</v>
      </c>
      <c r="L22" s="182">
        <f>SUM(L7:L21)</f>
        <v>5500</v>
      </c>
      <c r="M22" s="227">
        <f>SUM(M7:M21)</f>
        <v>31.527649391844349</v>
      </c>
    </row>
    <row r="23" spans="1:15" s="5" customFormat="1" ht="8.25" customHeight="1">
      <c r="A23" s="16"/>
      <c r="B23" s="14"/>
      <c r="C23" s="27"/>
      <c r="D23" s="27"/>
      <c r="E23" s="27"/>
      <c r="F23" s="27"/>
      <c r="G23" s="27"/>
      <c r="H23" s="27"/>
      <c r="I23" s="27"/>
      <c r="J23" s="27"/>
      <c r="K23" s="80"/>
      <c r="L23" s="27"/>
      <c r="M23" s="28"/>
    </row>
    <row r="24" spans="1:15" s="5" customFormat="1" ht="21" customHeight="1">
      <c r="A24" s="228" t="s">
        <v>35</v>
      </c>
      <c r="B24" s="229"/>
      <c r="C24" s="230"/>
      <c r="D24" s="230"/>
      <c r="E24" s="230"/>
      <c r="F24" s="230"/>
      <c r="G24" s="230"/>
      <c r="H24" s="230"/>
      <c r="I24" s="230"/>
      <c r="J24" s="230"/>
      <c r="K24" s="231"/>
      <c r="L24" s="230"/>
      <c r="M24" s="232"/>
    </row>
    <row r="25" spans="1:15" s="5" customFormat="1" ht="21" customHeight="1">
      <c r="A25" s="18" t="s">
        <v>8</v>
      </c>
      <c r="B25" s="14"/>
      <c r="C25" s="29">
        <v>1689.6749077490772</v>
      </c>
      <c r="D25" s="29">
        <v>1430</v>
      </c>
      <c r="E25" s="29">
        <f>+D25-C25</f>
        <v>-259.67490774907719</v>
      </c>
      <c r="F25" s="29">
        <v>916.35238095238083</v>
      </c>
      <c r="G25" s="29">
        <v>1410</v>
      </c>
      <c r="H25" s="29">
        <v>493.64761904761917</v>
      </c>
      <c r="I25" s="53">
        <v>0.34827013677811564</v>
      </c>
      <c r="J25" s="52">
        <v>-0.34827013677811564</v>
      </c>
      <c r="K25" s="81">
        <v>1549.2036319612591</v>
      </c>
      <c r="L25" s="29">
        <v>1551</v>
      </c>
      <c r="M25" s="25">
        <f>+K25-C25</f>
        <v>-140.47127578781806</v>
      </c>
    </row>
    <row r="26" spans="1:15" s="5" customFormat="1" ht="21" customHeight="1">
      <c r="A26" s="18" t="s">
        <v>9</v>
      </c>
      <c r="B26" s="14"/>
      <c r="C26" s="29">
        <v>71.284870848708479</v>
      </c>
      <c r="D26" s="29">
        <v>70</v>
      </c>
      <c r="E26" s="29">
        <f t="shared" ref="E26:E34" si="3">+D26-C26</f>
        <v>-1.2848708487084792</v>
      </c>
      <c r="F26" s="29">
        <v>83.517142857142858</v>
      </c>
      <c r="G26" s="29">
        <v>243.75</v>
      </c>
      <c r="H26" s="29">
        <v>160.23285714285714</v>
      </c>
      <c r="I26" s="53">
        <v>0.64823369963369959</v>
      </c>
      <c r="J26" s="52">
        <v>-0.64823369963369959</v>
      </c>
      <c r="K26" s="81">
        <v>62.588539144471348</v>
      </c>
      <c r="L26" s="29">
        <v>160</v>
      </c>
      <c r="M26" s="25">
        <f t="shared" ref="M26:M34" si="4">+K26-C26</f>
        <v>-8.6963317042371315</v>
      </c>
    </row>
    <row r="27" spans="1:15" s="5" customFormat="1" ht="21" customHeight="1">
      <c r="A27" s="18" t="s">
        <v>28</v>
      </c>
      <c r="B27" s="14"/>
      <c r="C27" s="29">
        <v>576.96974169741691</v>
      </c>
      <c r="D27" s="29">
        <v>780</v>
      </c>
      <c r="E27" s="29">
        <f t="shared" si="3"/>
        <v>203.03025830258309</v>
      </c>
      <c r="F27" s="29">
        <v>386.85321428571427</v>
      </c>
      <c r="G27" s="29">
        <v>582</v>
      </c>
      <c r="H27" s="29">
        <v>195.14678571428573</v>
      </c>
      <c r="I27" s="53">
        <v>0.33218872729504179</v>
      </c>
      <c r="J27" s="52">
        <v>-0.33218872729504179</v>
      </c>
      <c r="K27" s="81">
        <v>771.68365617433415</v>
      </c>
      <c r="L27" s="29">
        <v>780</v>
      </c>
      <c r="M27" s="25">
        <f t="shared" si="4"/>
        <v>194.71391447691724</v>
      </c>
    </row>
    <row r="28" spans="1:15" s="5" customFormat="1" ht="21" customHeight="1">
      <c r="A28" s="18" t="s">
        <v>10</v>
      </c>
      <c r="B28" s="14"/>
      <c r="C28" s="29">
        <v>436.34415744157434</v>
      </c>
      <c r="D28" s="29">
        <v>500</v>
      </c>
      <c r="E28" s="29">
        <f t="shared" si="3"/>
        <v>63.655842558425661</v>
      </c>
      <c r="F28" s="29">
        <v>491.0269047619048</v>
      </c>
      <c r="G28" s="29">
        <v>562.5</v>
      </c>
      <c r="H28" s="29">
        <v>71.473095238095198</v>
      </c>
      <c r="I28" s="53">
        <v>0.19991444444444428</v>
      </c>
      <c r="J28" s="52">
        <v>-0.19991444444444428</v>
      </c>
      <c r="K28" s="81">
        <v>431.83270110304011</v>
      </c>
      <c r="L28" s="29">
        <v>600</v>
      </c>
      <c r="M28" s="25">
        <f t="shared" si="4"/>
        <v>-4.5114563385342308</v>
      </c>
    </row>
    <row r="29" spans="1:15" s="5" customFormat="1" ht="21" customHeight="1">
      <c r="A29" s="18" t="s">
        <v>29</v>
      </c>
      <c r="B29" s="14"/>
      <c r="C29" s="29">
        <v>175.38044280442804</v>
      </c>
      <c r="D29" s="29">
        <v>185</v>
      </c>
      <c r="E29" s="29">
        <f t="shared" si="3"/>
        <v>9.6195571955719572</v>
      </c>
      <c r="F29" s="29">
        <v>116.98238095238095</v>
      </c>
      <c r="G29" s="29">
        <v>112.5</v>
      </c>
      <c r="H29" s="29">
        <v>-4.4823809523809501</v>
      </c>
      <c r="I29" s="53">
        <v>-9.600396825396823E-2</v>
      </c>
      <c r="J29" s="52">
        <v>9.600396825396823E-2</v>
      </c>
      <c r="K29" s="81">
        <v>164.785593220339</v>
      </c>
      <c r="L29" s="29">
        <v>185</v>
      </c>
      <c r="M29" s="25">
        <f t="shared" si="4"/>
        <v>-10.594849584089047</v>
      </c>
    </row>
    <row r="30" spans="1:15" s="5" customFormat="1" ht="21" customHeight="1">
      <c r="A30" s="26" t="s">
        <v>11</v>
      </c>
      <c r="B30" s="14"/>
      <c r="C30" s="29">
        <v>432.84686346863464</v>
      </c>
      <c r="D30" s="29">
        <v>750</v>
      </c>
      <c r="E30" s="29">
        <f t="shared" si="3"/>
        <v>317.15313653136536</v>
      </c>
      <c r="F30" s="29">
        <v>165.28416666666666</v>
      </c>
      <c r="G30" s="29">
        <v>570</v>
      </c>
      <c r="H30" s="29">
        <v>404.71583333333331</v>
      </c>
      <c r="I30" s="53">
        <v>0.53637124060150376</v>
      </c>
      <c r="J30" s="52">
        <v>-0.53637124060150376</v>
      </c>
      <c r="K30" s="81">
        <v>658.23995157384991</v>
      </c>
      <c r="L30" s="29">
        <v>354</v>
      </c>
      <c r="M30" s="25">
        <f t="shared" si="4"/>
        <v>225.39308810521527</v>
      </c>
    </row>
    <row r="31" spans="1:15" s="5" customFormat="1" ht="21" customHeight="1">
      <c r="A31" s="18" t="s">
        <v>46</v>
      </c>
      <c r="B31" s="14"/>
      <c r="C31" s="29">
        <v>156.70135301353011</v>
      </c>
      <c r="D31" s="29">
        <v>135</v>
      </c>
      <c r="E31" s="29">
        <f t="shared" si="3"/>
        <v>-21.70135301353011</v>
      </c>
      <c r="F31" s="29">
        <v>81.997380952380951</v>
      </c>
      <c r="G31" s="29">
        <v>108.75</v>
      </c>
      <c r="H31" s="29">
        <v>26.752619047619049</v>
      </c>
      <c r="I31" s="53">
        <v>0.19121510673234804</v>
      </c>
      <c r="J31" s="52">
        <v>-0.19121510673234804</v>
      </c>
      <c r="K31" s="81">
        <v>140.58353510895884</v>
      </c>
      <c r="L31" s="29">
        <v>160</v>
      </c>
      <c r="M31" s="25">
        <f t="shared" si="4"/>
        <v>-16.117817904571268</v>
      </c>
    </row>
    <row r="32" spans="1:15" s="5" customFormat="1" ht="21" customHeight="1">
      <c r="A32" s="18" t="s">
        <v>47</v>
      </c>
      <c r="B32" s="14"/>
      <c r="C32" s="29">
        <v>871.98991389913886</v>
      </c>
      <c r="D32" s="29">
        <v>800</v>
      </c>
      <c r="E32" s="29">
        <f t="shared" si="3"/>
        <v>-71.989913899138855</v>
      </c>
      <c r="F32" s="29">
        <v>522.14571428571435</v>
      </c>
      <c r="G32" s="29">
        <v>355.04999999999995</v>
      </c>
      <c r="H32" s="29">
        <v>-167.09571428571439</v>
      </c>
      <c r="I32" s="53">
        <v>-0.44799927575592979</v>
      </c>
      <c r="J32" s="52">
        <v>0.44799927575592979</v>
      </c>
      <c r="K32" s="81">
        <v>766.26307506053263</v>
      </c>
      <c r="L32" s="29">
        <v>610</v>
      </c>
      <c r="M32" s="25">
        <f t="shared" si="4"/>
        <v>-105.72683883860623</v>
      </c>
    </row>
    <row r="33" spans="1:14" s="5" customFormat="1" ht="21" customHeight="1">
      <c r="A33" s="18" t="s">
        <v>114</v>
      </c>
      <c r="B33" s="14"/>
      <c r="C33" s="29" t="s">
        <v>2</v>
      </c>
      <c r="D33" s="29" t="s">
        <v>2</v>
      </c>
      <c r="E33" s="29" t="s">
        <v>2</v>
      </c>
      <c r="F33" s="29">
        <v>981.05285714285708</v>
      </c>
      <c r="G33" s="29">
        <v>1350</v>
      </c>
      <c r="H33" s="29">
        <v>368.94714285714292</v>
      </c>
      <c r="I33" s="53">
        <v>0.31312725779967165</v>
      </c>
      <c r="J33" s="52">
        <v>-0.31312725779967165</v>
      </c>
      <c r="K33" s="81">
        <v>0</v>
      </c>
      <c r="L33" s="29">
        <v>0</v>
      </c>
      <c r="M33" s="25" t="s">
        <v>2</v>
      </c>
    </row>
    <row r="34" spans="1:14" s="5" customFormat="1" ht="21" customHeight="1">
      <c r="A34" s="26" t="s">
        <v>12</v>
      </c>
      <c r="B34" s="14"/>
      <c r="C34" s="29">
        <v>1177.679581795818</v>
      </c>
      <c r="D34" s="29">
        <v>1350</v>
      </c>
      <c r="E34" s="29">
        <f t="shared" si="3"/>
        <v>172.32041820418203</v>
      </c>
      <c r="F34" s="29">
        <v>279.50309523809523</v>
      </c>
      <c r="G34" s="29">
        <v>727.05</v>
      </c>
      <c r="H34" s="29">
        <v>447.54690476190473</v>
      </c>
      <c r="I34" s="53">
        <v>0.47781568373171429</v>
      </c>
      <c r="J34" s="52">
        <v>-0.47781568373171429</v>
      </c>
      <c r="K34" s="81">
        <v>995.41368038740927</v>
      </c>
      <c r="L34" s="29">
        <v>1100</v>
      </c>
      <c r="M34" s="25">
        <f t="shared" si="4"/>
        <v>-182.26590140840869</v>
      </c>
    </row>
    <row r="35" spans="1:14" ht="23.25" customHeight="1">
      <c r="A35" s="183" t="s">
        <v>89</v>
      </c>
      <c r="B35" s="181"/>
      <c r="C35" s="182">
        <f>SUM(C25:C34)</f>
        <v>5588.8718327183269</v>
      </c>
      <c r="D35" s="182">
        <f t="shared" ref="D35:L35" si="5">SUM(D25:D34)</f>
        <v>6000</v>
      </c>
      <c r="E35" s="182">
        <f t="shared" si="5"/>
        <v>411.12816728167343</v>
      </c>
      <c r="F35" s="182">
        <f t="shared" si="5"/>
        <v>4024.715238095238</v>
      </c>
      <c r="G35" s="182">
        <f>SUM(G25:G34)+1</f>
        <v>6022.6</v>
      </c>
      <c r="H35" s="182">
        <f t="shared" si="5"/>
        <v>1996.8847619047617</v>
      </c>
      <c r="I35" s="225">
        <f>+E35/D35</f>
        <v>6.8521361213612242E-2</v>
      </c>
      <c r="J35" s="225"/>
      <c r="K35" s="226">
        <f>SUM(K25:K34)</f>
        <v>5540.5943637341943</v>
      </c>
      <c r="L35" s="182">
        <f t="shared" si="5"/>
        <v>5500</v>
      </c>
      <c r="M35" s="227">
        <f>SUM(M25:M34)</f>
        <v>-48.277468984132156</v>
      </c>
      <c r="N35" t="s">
        <v>2</v>
      </c>
    </row>
    <row r="36" spans="1:14" ht="8.25" customHeight="1">
      <c r="A36" s="17"/>
      <c r="B36" s="14"/>
      <c r="C36" s="29" t="s">
        <v>2</v>
      </c>
      <c r="D36" s="27"/>
      <c r="E36" s="27"/>
      <c r="F36" s="27"/>
      <c r="G36" s="27"/>
      <c r="H36" s="27"/>
      <c r="I36" s="27"/>
      <c r="J36" s="27"/>
      <c r="K36" s="80"/>
      <c r="L36" s="27"/>
      <c r="M36" s="28"/>
    </row>
    <row r="37" spans="1:14" ht="21" customHeight="1">
      <c r="A37" s="17" t="s">
        <v>36</v>
      </c>
      <c r="B37" s="14"/>
      <c r="C37" s="29"/>
      <c r="D37" s="27"/>
      <c r="E37" s="27"/>
      <c r="F37" s="27"/>
      <c r="G37" s="27"/>
      <c r="H37" s="27"/>
      <c r="I37" s="27"/>
      <c r="J37" s="27"/>
      <c r="K37" s="80"/>
      <c r="L37" s="27"/>
      <c r="M37" s="28"/>
    </row>
    <row r="38" spans="1:14" ht="21" customHeight="1">
      <c r="A38" s="18" t="s">
        <v>31</v>
      </c>
      <c r="B38" s="14"/>
      <c r="C38" s="29">
        <v>3114.6173431734319</v>
      </c>
      <c r="D38" s="29">
        <v>3075</v>
      </c>
      <c r="E38" s="29">
        <f>+D38-C38</f>
        <v>-39.617343173431891</v>
      </c>
      <c r="F38" s="29">
        <v>1790.2578571428569</v>
      </c>
      <c r="G38" s="29">
        <v>2391</v>
      </c>
      <c r="H38" s="29">
        <v>600.74214285714311</v>
      </c>
      <c r="I38" s="53">
        <v>0.21286162394694397</v>
      </c>
      <c r="J38" s="52">
        <v>-0.21286162394694397</v>
      </c>
      <c r="K38" s="81">
        <v>2745.5840193704598</v>
      </c>
      <c r="L38" s="29">
        <v>3042</v>
      </c>
      <c r="M38" s="25">
        <f>+K38-C38</f>
        <v>-369.03332380297206</v>
      </c>
    </row>
    <row r="39" spans="1:14" ht="21" customHeight="1">
      <c r="A39" s="18" t="s">
        <v>32</v>
      </c>
      <c r="B39" s="14"/>
      <c r="C39" s="29">
        <v>127.8831488314883</v>
      </c>
      <c r="D39" s="29">
        <v>100</v>
      </c>
      <c r="E39" s="29">
        <f t="shared" ref="E39:E44" si="6">+D39-C39</f>
        <v>-27.883148831488299</v>
      </c>
      <c r="F39" s="29">
        <v>55.213928571428575</v>
      </c>
      <c r="G39" s="29">
        <v>116.25</v>
      </c>
      <c r="H39" s="29">
        <v>61.036071428571425</v>
      </c>
      <c r="I39" s="53">
        <v>0.47202150537634402</v>
      </c>
      <c r="J39" s="52">
        <v>-0.47202150537634402</v>
      </c>
      <c r="K39" s="81">
        <v>82.387772397094437</v>
      </c>
      <c r="L39" s="29">
        <v>128</v>
      </c>
      <c r="M39" s="25">
        <f t="shared" ref="M39:M44" si="7">+K39-C39</f>
        <v>-45.495376434393862</v>
      </c>
    </row>
    <row r="40" spans="1:14" ht="21" customHeight="1">
      <c r="A40" s="18" t="s">
        <v>7</v>
      </c>
      <c r="B40" s="14"/>
      <c r="C40" s="29">
        <v>631.68216482164814</v>
      </c>
      <c r="D40" s="29">
        <v>450</v>
      </c>
      <c r="E40" s="29">
        <f t="shared" si="6"/>
        <v>-181.68216482164814</v>
      </c>
      <c r="F40" s="29">
        <v>331.32678571428568</v>
      </c>
      <c r="G40" s="29">
        <v>247.5</v>
      </c>
      <c r="H40" s="29">
        <v>-83.826785714285677</v>
      </c>
      <c r="I40" s="53">
        <v>-0.31772510822510808</v>
      </c>
      <c r="J40" s="52">
        <v>0.31772510822510808</v>
      </c>
      <c r="K40" s="81">
        <v>541.62908259348933</v>
      </c>
      <c r="L40" s="29">
        <v>430</v>
      </c>
      <c r="M40" s="25">
        <f t="shared" si="7"/>
        <v>-90.053082228158814</v>
      </c>
    </row>
    <row r="41" spans="1:14" ht="21" customHeight="1">
      <c r="A41" s="18" t="s">
        <v>6</v>
      </c>
      <c r="B41" s="14"/>
      <c r="C41" s="29">
        <v>930.31574415744137</v>
      </c>
      <c r="D41" s="29">
        <v>1300</v>
      </c>
      <c r="E41" s="29">
        <f t="shared" si="6"/>
        <v>369.68425584255863</v>
      </c>
      <c r="F41" s="29">
        <v>1198.3136904761902</v>
      </c>
      <c r="G41" s="29">
        <v>2207</v>
      </c>
      <c r="H41" s="29">
        <v>1008.6863095238098</v>
      </c>
      <c r="I41" s="53">
        <v>0.45750385653683007</v>
      </c>
      <c r="J41" s="52">
        <v>-0.45750385653683007</v>
      </c>
      <c r="K41" s="81">
        <v>1370.2433010492332</v>
      </c>
      <c r="L41" s="29">
        <v>820</v>
      </c>
      <c r="M41" s="25">
        <f t="shared" si="7"/>
        <v>439.92755689179182</v>
      </c>
    </row>
    <row r="42" spans="1:14" ht="21" customHeight="1">
      <c r="A42" s="18" t="s">
        <v>48</v>
      </c>
      <c r="B42" s="14"/>
      <c r="C42" s="29">
        <v>357.72423124231233</v>
      </c>
      <c r="D42" s="29">
        <v>575</v>
      </c>
      <c r="E42" s="29">
        <f t="shared" si="6"/>
        <v>217.27576875768767</v>
      </c>
      <c r="F42" s="29">
        <v>292.03345238095238</v>
      </c>
      <c r="G42" s="29">
        <v>519.75</v>
      </c>
      <c r="H42" s="29">
        <v>227.71654761904762</v>
      </c>
      <c r="I42" s="53">
        <v>0.4280608809180238</v>
      </c>
      <c r="J42" s="52">
        <v>-0.4280608809180238</v>
      </c>
      <c r="K42" s="81">
        <v>461.07101156846915</v>
      </c>
      <c r="L42" s="29">
        <v>575</v>
      </c>
      <c r="M42" s="25">
        <f t="shared" si="7"/>
        <v>103.34678032615682</v>
      </c>
    </row>
    <row r="43" spans="1:14" ht="21" customHeight="1">
      <c r="A43" s="18" t="s">
        <v>30</v>
      </c>
      <c r="B43" s="14"/>
      <c r="C43" s="29">
        <v>340.23333333333323</v>
      </c>
      <c r="D43" s="29">
        <v>400</v>
      </c>
      <c r="E43" s="29">
        <f t="shared" si="6"/>
        <v>59.766666666666765</v>
      </c>
      <c r="F43" s="29">
        <v>273.70142857142849</v>
      </c>
      <c r="G43" s="29">
        <v>427.5</v>
      </c>
      <c r="H43" s="29">
        <v>153.79857142857151</v>
      </c>
      <c r="I43" s="53">
        <v>0.35873433583959907</v>
      </c>
      <c r="J43" s="52">
        <v>-0.35873433583959907</v>
      </c>
      <c r="K43" s="81">
        <v>287.27263922518159</v>
      </c>
      <c r="L43" s="29">
        <v>400</v>
      </c>
      <c r="M43" s="25">
        <f t="shared" si="7"/>
        <v>-52.960694108151642</v>
      </c>
    </row>
    <row r="44" spans="1:14" ht="21" customHeight="1">
      <c r="A44" s="18" t="s">
        <v>49</v>
      </c>
      <c r="B44" s="14"/>
      <c r="C44" s="29">
        <v>86.415867158671574</v>
      </c>
      <c r="D44" s="29">
        <v>100</v>
      </c>
      <c r="E44" s="29">
        <f t="shared" si="6"/>
        <v>13.584132841328426</v>
      </c>
      <c r="F44" s="29">
        <v>83.868095238095236</v>
      </c>
      <c r="G44" s="29">
        <v>112.5</v>
      </c>
      <c r="H44" s="29">
        <v>28.631904761904764</v>
      </c>
      <c r="I44" s="53">
        <v>0.43401904761904764</v>
      </c>
      <c r="J44" s="52">
        <v>-0.43401904761904764</v>
      </c>
      <c r="K44" s="81">
        <v>52.406537530266348</v>
      </c>
      <c r="L44" s="29">
        <v>105</v>
      </c>
      <c r="M44" s="25">
        <f t="shared" si="7"/>
        <v>-34.009329628405226</v>
      </c>
    </row>
    <row r="45" spans="1:14" ht="11.25" customHeight="1">
      <c r="A45" s="16" t="s">
        <v>2</v>
      </c>
      <c r="B45" s="14"/>
      <c r="C45" s="29" t="s">
        <v>2</v>
      </c>
      <c r="D45" s="29" t="s">
        <v>2</v>
      </c>
      <c r="E45" s="29" t="s">
        <v>2</v>
      </c>
      <c r="F45" s="29" t="s">
        <v>2</v>
      </c>
      <c r="G45" s="29" t="s">
        <v>2</v>
      </c>
      <c r="H45" s="29" t="s">
        <v>2</v>
      </c>
      <c r="I45" s="29"/>
      <c r="J45" s="29"/>
      <c r="K45" s="81" t="s">
        <v>2</v>
      </c>
      <c r="L45" s="29" t="s">
        <v>2</v>
      </c>
      <c r="M45" s="30" t="s">
        <v>2</v>
      </c>
    </row>
    <row r="46" spans="1:14" ht="23.25" customHeight="1">
      <c r="A46" s="183" t="s">
        <v>88</v>
      </c>
      <c r="B46" s="181"/>
      <c r="C46" s="182">
        <f t="shared" ref="C46:M46" si="8">SUM(C38:C45)</f>
        <v>5588.8718327183278</v>
      </c>
      <c r="D46" s="182">
        <f t="shared" si="8"/>
        <v>6000</v>
      </c>
      <c r="E46" s="182">
        <f t="shared" si="8"/>
        <v>411.12816728167314</v>
      </c>
      <c r="F46" s="182">
        <f t="shared" si="8"/>
        <v>4024.7152380952371</v>
      </c>
      <c r="G46" s="182">
        <f>SUM(G38:G45)+1</f>
        <v>6022.5</v>
      </c>
      <c r="H46" s="182">
        <f>SUM(H38:H45)</f>
        <v>1996.7847619047623</v>
      </c>
      <c r="I46" s="225">
        <f>+E46/D46</f>
        <v>6.8521361213612186E-2</v>
      </c>
      <c r="J46" s="225"/>
      <c r="K46" s="226">
        <f t="shared" si="8"/>
        <v>5540.5943637341934</v>
      </c>
      <c r="L46" s="182">
        <f t="shared" si="8"/>
        <v>5500</v>
      </c>
      <c r="M46" s="227">
        <f t="shared" si="8"/>
        <v>-48.277468984132952</v>
      </c>
      <c r="N46" t="s">
        <v>2</v>
      </c>
    </row>
    <row r="47" spans="1:14" s="2" customFormat="1" ht="9" customHeight="1">
      <c r="A47" s="233"/>
      <c r="B47" s="229"/>
      <c r="C47" s="230"/>
      <c r="D47" s="230"/>
      <c r="E47" s="230"/>
      <c r="F47" s="230"/>
      <c r="G47" s="230"/>
      <c r="H47" s="230"/>
      <c r="I47" s="230"/>
      <c r="J47" s="230"/>
      <c r="K47" s="231"/>
      <c r="L47" s="230"/>
      <c r="M47" s="232"/>
    </row>
    <row r="48" spans="1:14" ht="21.6" thickBot="1">
      <c r="A48" s="234" t="s">
        <v>34</v>
      </c>
      <c r="B48" s="235"/>
      <c r="C48" s="236">
        <f>C22-C46</f>
        <v>1179.4640594095936</v>
      </c>
      <c r="D48" s="236">
        <f>D22-D46</f>
        <v>0</v>
      </c>
      <c r="E48" s="236">
        <f>E22+E46</f>
        <v>1179.4640594095947</v>
      </c>
      <c r="F48" s="236">
        <f>F22-F46</f>
        <v>-4024.7152380952371</v>
      </c>
      <c r="G48" s="236">
        <f>G22-G46</f>
        <v>-6022.5</v>
      </c>
      <c r="H48" s="236">
        <f>H22+H46+2</f>
        <v>1998.7847619047623</v>
      </c>
      <c r="I48" s="236"/>
      <c r="J48" s="236"/>
      <c r="K48" s="237">
        <f>K22-K46-1</f>
        <v>1195.2138790018844</v>
      </c>
      <c r="L48" s="236">
        <f>L22-L46</f>
        <v>0</v>
      </c>
      <c r="M48" s="238">
        <f>+M22+M46</f>
        <v>-16.749819592288603</v>
      </c>
    </row>
  </sheetData>
  <mergeCells count="1">
    <mergeCell ref="K4:L4"/>
  </mergeCells>
  <pageMargins left="0.7" right="0.7" top="0.75" bottom="0.75" header="0.3" footer="0.3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Y74"/>
  <sheetViews>
    <sheetView showGridLines="0" zoomScale="80" zoomScaleNormal="80" zoomScalePageLayoutView="80" workbookViewId="0">
      <selection activeCell="J10" sqref="J10"/>
    </sheetView>
  </sheetViews>
  <sheetFormatPr defaultColWidth="8.77734375" defaultRowHeight="14.4"/>
  <cols>
    <col min="1" max="1" width="84" style="1" customWidth="1"/>
    <col min="2" max="2" width="1.33203125" customWidth="1"/>
    <col min="3" max="8" width="10.44140625" style="3" customWidth="1"/>
    <col min="9" max="9" width="12.21875" customWidth="1"/>
    <col min="10" max="10" width="12" customWidth="1"/>
    <col min="13" max="13" width="13.21875" customWidth="1"/>
    <col min="14" max="14" width="15.77734375" customWidth="1"/>
    <col min="15" max="15" width="12.6640625" customWidth="1"/>
    <col min="226" max="226" width="0.77734375" customWidth="1"/>
    <col min="227" max="227" width="57.44140625" customWidth="1"/>
    <col min="228" max="228" width="1.33203125" customWidth="1"/>
    <col min="229" max="233" width="10.44140625" customWidth="1"/>
    <col min="234" max="234" width="12.21875" customWidth="1"/>
    <col min="235" max="235" width="10.6640625" customWidth="1"/>
    <col min="236" max="236" width="23" customWidth="1"/>
    <col min="237" max="237" width="4.77734375" customWidth="1"/>
    <col min="242" max="244" width="10.44140625" bestFit="1" customWidth="1"/>
    <col min="482" max="482" width="0.77734375" customWidth="1"/>
    <col min="483" max="483" width="57.44140625" customWidth="1"/>
    <col min="484" max="484" width="1.33203125" customWidth="1"/>
    <col min="485" max="489" width="10.44140625" customWidth="1"/>
    <col min="490" max="490" width="12.21875" customWidth="1"/>
    <col min="491" max="491" width="10.6640625" customWidth="1"/>
    <col min="492" max="492" width="23" customWidth="1"/>
    <col min="493" max="493" width="4.77734375" customWidth="1"/>
    <col min="498" max="500" width="10.44140625" bestFit="1" customWidth="1"/>
    <col min="738" max="738" width="0.77734375" customWidth="1"/>
    <col min="739" max="739" width="57.44140625" customWidth="1"/>
    <col min="740" max="740" width="1.33203125" customWidth="1"/>
    <col min="741" max="745" width="10.44140625" customWidth="1"/>
    <col min="746" max="746" width="12.21875" customWidth="1"/>
    <col min="747" max="747" width="10.6640625" customWidth="1"/>
    <col min="748" max="748" width="23" customWidth="1"/>
    <col min="749" max="749" width="4.77734375" customWidth="1"/>
    <col min="754" max="756" width="10.44140625" bestFit="1" customWidth="1"/>
    <col min="994" max="994" width="0.77734375" customWidth="1"/>
    <col min="995" max="995" width="57.44140625" customWidth="1"/>
    <col min="996" max="996" width="1.33203125" customWidth="1"/>
    <col min="997" max="1001" width="10.44140625" customWidth="1"/>
    <col min="1002" max="1002" width="12.21875" customWidth="1"/>
    <col min="1003" max="1003" width="10.6640625" customWidth="1"/>
    <col min="1004" max="1004" width="23" customWidth="1"/>
    <col min="1005" max="1005" width="4.77734375" customWidth="1"/>
    <col min="1010" max="1012" width="10.44140625" bestFit="1" customWidth="1"/>
    <col min="1250" max="1250" width="0.77734375" customWidth="1"/>
    <col min="1251" max="1251" width="57.44140625" customWidth="1"/>
    <col min="1252" max="1252" width="1.33203125" customWidth="1"/>
    <col min="1253" max="1257" width="10.44140625" customWidth="1"/>
    <col min="1258" max="1258" width="12.21875" customWidth="1"/>
    <col min="1259" max="1259" width="10.6640625" customWidth="1"/>
    <col min="1260" max="1260" width="23" customWidth="1"/>
    <col min="1261" max="1261" width="4.77734375" customWidth="1"/>
    <col min="1266" max="1268" width="10.44140625" bestFit="1" customWidth="1"/>
    <col min="1506" max="1506" width="0.77734375" customWidth="1"/>
    <col min="1507" max="1507" width="57.44140625" customWidth="1"/>
    <col min="1508" max="1508" width="1.33203125" customWidth="1"/>
    <col min="1509" max="1513" width="10.44140625" customWidth="1"/>
    <col min="1514" max="1514" width="12.21875" customWidth="1"/>
    <col min="1515" max="1515" width="10.6640625" customWidth="1"/>
    <col min="1516" max="1516" width="23" customWidth="1"/>
    <col min="1517" max="1517" width="4.77734375" customWidth="1"/>
    <col min="1522" max="1524" width="10.44140625" bestFit="1" customWidth="1"/>
    <col min="1762" max="1762" width="0.77734375" customWidth="1"/>
    <col min="1763" max="1763" width="57.44140625" customWidth="1"/>
    <col min="1764" max="1764" width="1.33203125" customWidth="1"/>
    <col min="1765" max="1769" width="10.44140625" customWidth="1"/>
    <col min="1770" max="1770" width="12.21875" customWidth="1"/>
    <col min="1771" max="1771" width="10.6640625" customWidth="1"/>
    <col min="1772" max="1772" width="23" customWidth="1"/>
    <col min="1773" max="1773" width="4.77734375" customWidth="1"/>
    <col min="1778" max="1780" width="10.44140625" bestFit="1" customWidth="1"/>
    <col min="2018" max="2018" width="0.77734375" customWidth="1"/>
    <col min="2019" max="2019" width="57.44140625" customWidth="1"/>
    <col min="2020" max="2020" width="1.33203125" customWidth="1"/>
    <col min="2021" max="2025" width="10.44140625" customWidth="1"/>
    <col min="2026" max="2026" width="12.21875" customWidth="1"/>
    <col min="2027" max="2027" width="10.6640625" customWidth="1"/>
    <col min="2028" max="2028" width="23" customWidth="1"/>
    <col min="2029" max="2029" width="4.77734375" customWidth="1"/>
    <col min="2034" max="2036" width="10.44140625" bestFit="1" customWidth="1"/>
    <col min="2274" max="2274" width="0.77734375" customWidth="1"/>
    <col min="2275" max="2275" width="57.44140625" customWidth="1"/>
    <col min="2276" max="2276" width="1.33203125" customWidth="1"/>
    <col min="2277" max="2281" width="10.44140625" customWidth="1"/>
    <col min="2282" max="2282" width="12.21875" customWidth="1"/>
    <col min="2283" max="2283" width="10.6640625" customWidth="1"/>
    <col min="2284" max="2284" width="23" customWidth="1"/>
    <col min="2285" max="2285" width="4.77734375" customWidth="1"/>
    <col min="2290" max="2292" width="10.44140625" bestFit="1" customWidth="1"/>
    <col min="2530" max="2530" width="0.77734375" customWidth="1"/>
    <col min="2531" max="2531" width="57.44140625" customWidth="1"/>
    <col min="2532" max="2532" width="1.33203125" customWidth="1"/>
    <col min="2533" max="2537" width="10.44140625" customWidth="1"/>
    <col min="2538" max="2538" width="12.21875" customWidth="1"/>
    <col min="2539" max="2539" width="10.6640625" customWidth="1"/>
    <col min="2540" max="2540" width="23" customWidth="1"/>
    <col min="2541" max="2541" width="4.77734375" customWidth="1"/>
    <col min="2546" max="2548" width="10.44140625" bestFit="1" customWidth="1"/>
    <col min="2786" max="2786" width="0.77734375" customWidth="1"/>
    <col min="2787" max="2787" width="57.44140625" customWidth="1"/>
    <col min="2788" max="2788" width="1.33203125" customWidth="1"/>
    <col min="2789" max="2793" width="10.44140625" customWidth="1"/>
    <col min="2794" max="2794" width="12.21875" customWidth="1"/>
    <col min="2795" max="2795" width="10.6640625" customWidth="1"/>
    <col min="2796" max="2796" width="23" customWidth="1"/>
    <col min="2797" max="2797" width="4.77734375" customWidth="1"/>
    <col min="2802" max="2804" width="10.44140625" bestFit="1" customWidth="1"/>
    <col min="3042" max="3042" width="0.77734375" customWidth="1"/>
    <col min="3043" max="3043" width="57.44140625" customWidth="1"/>
    <col min="3044" max="3044" width="1.33203125" customWidth="1"/>
    <col min="3045" max="3049" width="10.44140625" customWidth="1"/>
    <col min="3050" max="3050" width="12.21875" customWidth="1"/>
    <col min="3051" max="3051" width="10.6640625" customWidth="1"/>
    <col min="3052" max="3052" width="23" customWidth="1"/>
    <col min="3053" max="3053" width="4.77734375" customWidth="1"/>
    <col min="3058" max="3060" width="10.44140625" bestFit="1" customWidth="1"/>
    <col min="3298" max="3298" width="0.77734375" customWidth="1"/>
    <col min="3299" max="3299" width="57.44140625" customWidth="1"/>
    <col min="3300" max="3300" width="1.33203125" customWidth="1"/>
    <col min="3301" max="3305" width="10.44140625" customWidth="1"/>
    <col min="3306" max="3306" width="12.21875" customWidth="1"/>
    <col min="3307" max="3307" width="10.6640625" customWidth="1"/>
    <col min="3308" max="3308" width="23" customWidth="1"/>
    <col min="3309" max="3309" width="4.77734375" customWidth="1"/>
    <col min="3314" max="3316" width="10.44140625" bestFit="1" customWidth="1"/>
    <col min="3554" max="3554" width="0.77734375" customWidth="1"/>
    <col min="3555" max="3555" width="57.44140625" customWidth="1"/>
    <col min="3556" max="3556" width="1.33203125" customWidth="1"/>
    <col min="3557" max="3561" width="10.44140625" customWidth="1"/>
    <col min="3562" max="3562" width="12.21875" customWidth="1"/>
    <col min="3563" max="3563" width="10.6640625" customWidth="1"/>
    <col min="3564" max="3564" width="23" customWidth="1"/>
    <col min="3565" max="3565" width="4.77734375" customWidth="1"/>
    <col min="3570" max="3572" width="10.44140625" bestFit="1" customWidth="1"/>
    <col min="3810" max="3810" width="0.77734375" customWidth="1"/>
    <col min="3811" max="3811" width="57.44140625" customWidth="1"/>
    <col min="3812" max="3812" width="1.33203125" customWidth="1"/>
    <col min="3813" max="3817" width="10.44140625" customWidth="1"/>
    <col min="3818" max="3818" width="12.21875" customWidth="1"/>
    <col min="3819" max="3819" width="10.6640625" customWidth="1"/>
    <col min="3820" max="3820" width="23" customWidth="1"/>
    <col min="3821" max="3821" width="4.77734375" customWidth="1"/>
    <col min="3826" max="3828" width="10.44140625" bestFit="1" customWidth="1"/>
    <col min="4066" max="4066" width="0.77734375" customWidth="1"/>
    <col min="4067" max="4067" width="57.44140625" customWidth="1"/>
    <col min="4068" max="4068" width="1.33203125" customWidth="1"/>
    <col min="4069" max="4073" width="10.44140625" customWidth="1"/>
    <col min="4074" max="4074" width="12.21875" customWidth="1"/>
    <col min="4075" max="4075" width="10.6640625" customWidth="1"/>
    <col min="4076" max="4076" width="23" customWidth="1"/>
    <col min="4077" max="4077" width="4.77734375" customWidth="1"/>
    <col min="4082" max="4084" width="10.44140625" bestFit="1" customWidth="1"/>
    <col min="4322" max="4322" width="0.77734375" customWidth="1"/>
    <col min="4323" max="4323" width="57.44140625" customWidth="1"/>
    <col min="4324" max="4324" width="1.33203125" customWidth="1"/>
    <col min="4325" max="4329" width="10.44140625" customWidth="1"/>
    <col min="4330" max="4330" width="12.21875" customWidth="1"/>
    <col min="4331" max="4331" width="10.6640625" customWidth="1"/>
    <col min="4332" max="4332" width="23" customWidth="1"/>
    <col min="4333" max="4333" width="4.77734375" customWidth="1"/>
    <col min="4338" max="4340" width="10.44140625" bestFit="1" customWidth="1"/>
    <col min="4578" max="4578" width="0.77734375" customWidth="1"/>
    <col min="4579" max="4579" width="57.44140625" customWidth="1"/>
    <col min="4580" max="4580" width="1.33203125" customWidth="1"/>
    <col min="4581" max="4585" width="10.44140625" customWidth="1"/>
    <col min="4586" max="4586" width="12.21875" customWidth="1"/>
    <col min="4587" max="4587" width="10.6640625" customWidth="1"/>
    <col min="4588" max="4588" width="23" customWidth="1"/>
    <col min="4589" max="4589" width="4.77734375" customWidth="1"/>
    <col min="4594" max="4596" width="10.44140625" bestFit="1" customWidth="1"/>
    <col min="4834" max="4834" width="0.77734375" customWidth="1"/>
    <col min="4835" max="4835" width="57.44140625" customWidth="1"/>
    <col min="4836" max="4836" width="1.33203125" customWidth="1"/>
    <col min="4837" max="4841" width="10.44140625" customWidth="1"/>
    <col min="4842" max="4842" width="12.21875" customWidth="1"/>
    <col min="4843" max="4843" width="10.6640625" customWidth="1"/>
    <col min="4844" max="4844" width="23" customWidth="1"/>
    <col min="4845" max="4845" width="4.77734375" customWidth="1"/>
    <col min="4850" max="4852" width="10.44140625" bestFit="1" customWidth="1"/>
    <col min="5090" max="5090" width="0.77734375" customWidth="1"/>
    <col min="5091" max="5091" width="57.44140625" customWidth="1"/>
    <col min="5092" max="5092" width="1.33203125" customWidth="1"/>
    <col min="5093" max="5097" width="10.44140625" customWidth="1"/>
    <col min="5098" max="5098" width="12.21875" customWidth="1"/>
    <col min="5099" max="5099" width="10.6640625" customWidth="1"/>
    <col min="5100" max="5100" width="23" customWidth="1"/>
    <col min="5101" max="5101" width="4.77734375" customWidth="1"/>
    <col min="5106" max="5108" width="10.44140625" bestFit="1" customWidth="1"/>
    <col min="5346" max="5346" width="0.77734375" customWidth="1"/>
    <col min="5347" max="5347" width="57.44140625" customWidth="1"/>
    <col min="5348" max="5348" width="1.33203125" customWidth="1"/>
    <col min="5349" max="5353" width="10.44140625" customWidth="1"/>
    <col min="5354" max="5354" width="12.21875" customWidth="1"/>
    <col min="5355" max="5355" width="10.6640625" customWidth="1"/>
    <col min="5356" max="5356" width="23" customWidth="1"/>
    <col min="5357" max="5357" width="4.77734375" customWidth="1"/>
    <col min="5362" max="5364" width="10.44140625" bestFit="1" customWidth="1"/>
    <col min="5602" max="5602" width="0.77734375" customWidth="1"/>
    <col min="5603" max="5603" width="57.44140625" customWidth="1"/>
    <col min="5604" max="5604" width="1.33203125" customWidth="1"/>
    <col min="5605" max="5609" width="10.44140625" customWidth="1"/>
    <col min="5610" max="5610" width="12.21875" customWidth="1"/>
    <col min="5611" max="5611" width="10.6640625" customWidth="1"/>
    <col min="5612" max="5612" width="23" customWidth="1"/>
    <col min="5613" max="5613" width="4.77734375" customWidth="1"/>
    <col min="5618" max="5620" width="10.44140625" bestFit="1" customWidth="1"/>
    <col min="5858" max="5858" width="0.77734375" customWidth="1"/>
    <col min="5859" max="5859" width="57.44140625" customWidth="1"/>
    <col min="5860" max="5860" width="1.33203125" customWidth="1"/>
    <col min="5861" max="5865" width="10.44140625" customWidth="1"/>
    <col min="5866" max="5866" width="12.21875" customWidth="1"/>
    <col min="5867" max="5867" width="10.6640625" customWidth="1"/>
    <col min="5868" max="5868" width="23" customWidth="1"/>
    <col min="5869" max="5869" width="4.77734375" customWidth="1"/>
    <col min="5874" max="5876" width="10.44140625" bestFit="1" customWidth="1"/>
    <col min="6114" max="6114" width="0.77734375" customWidth="1"/>
    <col min="6115" max="6115" width="57.44140625" customWidth="1"/>
    <col min="6116" max="6116" width="1.33203125" customWidth="1"/>
    <col min="6117" max="6121" width="10.44140625" customWidth="1"/>
    <col min="6122" max="6122" width="12.21875" customWidth="1"/>
    <col min="6123" max="6123" width="10.6640625" customWidth="1"/>
    <col min="6124" max="6124" width="23" customWidth="1"/>
    <col min="6125" max="6125" width="4.77734375" customWidth="1"/>
    <col min="6130" max="6132" width="10.44140625" bestFit="1" customWidth="1"/>
    <col min="6370" max="6370" width="0.77734375" customWidth="1"/>
    <col min="6371" max="6371" width="57.44140625" customWidth="1"/>
    <col min="6372" max="6372" width="1.33203125" customWidth="1"/>
    <col min="6373" max="6377" width="10.44140625" customWidth="1"/>
    <col min="6378" max="6378" width="12.21875" customWidth="1"/>
    <col min="6379" max="6379" width="10.6640625" customWidth="1"/>
    <col min="6380" max="6380" width="23" customWidth="1"/>
    <col min="6381" max="6381" width="4.77734375" customWidth="1"/>
    <col min="6386" max="6388" width="10.44140625" bestFit="1" customWidth="1"/>
    <col min="6626" max="6626" width="0.77734375" customWidth="1"/>
    <col min="6627" max="6627" width="57.44140625" customWidth="1"/>
    <col min="6628" max="6628" width="1.33203125" customWidth="1"/>
    <col min="6629" max="6633" width="10.44140625" customWidth="1"/>
    <col min="6634" max="6634" width="12.21875" customWidth="1"/>
    <col min="6635" max="6635" width="10.6640625" customWidth="1"/>
    <col min="6636" max="6636" width="23" customWidth="1"/>
    <col min="6637" max="6637" width="4.77734375" customWidth="1"/>
    <col min="6642" max="6644" width="10.44140625" bestFit="1" customWidth="1"/>
    <col min="6882" max="6882" width="0.77734375" customWidth="1"/>
    <col min="6883" max="6883" width="57.44140625" customWidth="1"/>
    <col min="6884" max="6884" width="1.33203125" customWidth="1"/>
    <col min="6885" max="6889" width="10.44140625" customWidth="1"/>
    <col min="6890" max="6890" width="12.21875" customWidth="1"/>
    <col min="6891" max="6891" width="10.6640625" customWidth="1"/>
    <col min="6892" max="6892" width="23" customWidth="1"/>
    <col min="6893" max="6893" width="4.77734375" customWidth="1"/>
    <col min="6898" max="6900" width="10.44140625" bestFit="1" customWidth="1"/>
    <col min="7138" max="7138" width="0.77734375" customWidth="1"/>
    <col min="7139" max="7139" width="57.44140625" customWidth="1"/>
    <col min="7140" max="7140" width="1.33203125" customWidth="1"/>
    <col min="7141" max="7145" width="10.44140625" customWidth="1"/>
    <col min="7146" max="7146" width="12.21875" customWidth="1"/>
    <col min="7147" max="7147" width="10.6640625" customWidth="1"/>
    <col min="7148" max="7148" width="23" customWidth="1"/>
    <col min="7149" max="7149" width="4.77734375" customWidth="1"/>
    <col min="7154" max="7156" width="10.44140625" bestFit="1" customWidth="1"/>
    <col min="7394" max="7394" width="0.77734375" customWidth="1"/>
    <col min="7395" max="7395" width="57.44140625" customWidth="1"/>
    <col min="7396" max="7396" width="1.33203125" customWidth="1"/>
    <col min="7397" max="7401" width="10.44140625" customWidth="1"/>
    <col min="7402" max="7402" width="12.21875" customWidth="1"/>
    <col min="7403" max="7403" width="10.6640625" customWidth="1"/>
    <col min="7404" max="7404" width="23" customWidth="1"/>
    <col min="7405" max="7405" width="4.77734375" customWidth="1"/>
    <col min="7410" max="7412" width="10.44140625" bestFit="1" customWidth="1"/>
    <col min="7650" max="7650" width="0.77734375" customWidth="1"/>
    <col min="7651" max="7651" width="57.44140625" customWidth="1"/>
    <col min="7652" max="7652" width="1.33203125" customWidth="1"/>
    <col min="7653" max="7657" width="10.44140625" customWidth="1"/>
    <col min="7658" max="7658" width="12.21875" customWidth="1"/>
    <col min="7659" max="7659" width="10.6640625" customWidth="1"/>
    <col min="7660" max="7660" width="23" customWidth="1"/>
    <col min="7661" max="7661" width="4.77734375" customWidth="1"/>
    <col min="7666" max="7668" width="10.44140625" bestFit="1" customWidth="1"/>
    <col min="7906" max="7906" width="0.77734375" customWidth="1"/>
    <col min="7907" max="7907" width="57.44140625" customWidth="1"/>
    <col min="7908" max="7908" width="1.33203125" customWidth="1"/>
    <col min="7909" max="7913" width="10.44140625" customWidth="1"/>
    <col min="7914" max="7914" width="12.21875" customWidth="1"/>
    <col min="7915" max="7915" width="10.6640625" customWidth="1"/>
    <col min="7916" max="7916" width="23" customWidth="1"/>
    <col min="7917" max="7917" width="4.77734375" customWidth="1"/>
    <col min="7922" max="7924" width="10.44140625" bestFit="1" customWidth="1"/>
    <col min="8162" max="8162" width="0.77734375" customWidth="1"/>
    <col min="8163" max="8163" width="57.44140625" customWidth="1"/>
    <col min="8164" max="8164" width="1.33203125" customWidth="1"/>
    <col min="8165" max="8169" width="10.44140625" customWidth="1"/>
    <col min="8170" max="8170" width="12.21875" customWidth="1"/>
    <col min="8171" max="8171" width="10.6640625" customWidth="1"/>
    <col min="8172" max="8172" width="23" customWidth="1"/>
    <col min="8173" max="8173" width="4.77734375" customWidth="1"/>
    <col min="8178" max="8180" width="10.44140625" bestFit="1" customWidth="1"/>
    <col min="8418" max="8418" width="0.77734375" customWidth="1"/>
    <col min="8419" max="8419" width="57.44140625" customWidth="1"/>
    <col min="8420" max="8420" width="1.33203125" customWidth="1"/>
    <col min="8421" max="8425" width="10.44140625" customWidth="1"/>
    <col min="8426" max="8426" width="12.21875" customWidth="1"/>
    <col min="8427" max="8427" width="10.6640625" customWidth="1"/>
    <col min="8428" max="8428" width="23" customWidth="1"/>
    <col min="8429" max="8429" width="4.77734375" customWidth="1"/>
    <col min="8434" max="8436" width="10.44140625" bestFit="1" customWidth="1"/>
    <col min="8674" max="8674" width="0.77734375" customWidth="1"/>
    <col min="8675" max="8675" width="57.44140625" customWidth="1"/>
    <col min="8676" max="8676" width="1.33203125" customWidth="1"/>
    <col min="8677" max="8681" width="10.44140625" customWidth="1"/>
    <col min="8682" max="8682" width="12.21875" customWidth="1"/>
    <col min="8683" max="8683" width="10.6640625" customWidth="1"/>
    <col min="8684" max="8684" width="23" customWidth="1"/>
    <col min="8685" max="8685" width="4.77734375" customWidth="1"/>
    <col min="8690" max="8692" width="10.44140625" bestFit="1" customWidth="1"/>
    <col min="8930" max="8930" width="0.77734375" customWidth="1"/>
    <col min="8931" max="8931" width="57.44140625" customWidth="1"/>
    <col min="8932" max="8932" width="1.33203125" customWidth="1"/>
    <col min="8933" max="8937" width="10.44140625" customWidth="1"/>
    <col min="8938" max="8938" width="12.21875" customWidth="1"/>
    <col min="8939" max="8939" width="10.6640625" customWidth="1"/>
    <col min="8940" max="8940" width="23" customWidth="1"/>
    <col min="8941" max="8941" width="4.77734375" customWidth="1"/>
    <col min="8946" max="8948" width="10.44140625" bestFit="1" customWidth="1"/>
    <col min="9186" max="9186" width="0.77734375" customWidth="1"/>
    <col min="9187" max="9187" width="57.44140625" customWidth="1"/>
    <col min="9188" max="9188" width="1.33203125" customWidth="1"/>
    <col min="9189" max="9193" width="10.44140625" customWidth="1"/>
    <col min="9194" max="9194" width="12.21875" customWidth="1"/>
    <col min="9195" max="9195" width="10.6640625" customWidth="1"/>
    <col min="9196" max="9196" width="23" customWidth="1"/>
    <col min="9197" max="9197" width="4.77734375" customWidth="1"/>
    <col min="9202" max="9204" width="10.44140625" bestFit="1" customWidth="1"/>
    <col min="9442" max="9442" width="0.77734375" customWidth="1"/>
    <col min="9443" max="9443" width="57.44140625" customWidth="1"/>
    <col min="9444" max="9444" width="1.33203125" customWidth="1"/>
    <col min="9445" max="9449" width="10.44140625" customWidth="1"/>
    <col min="9450" max="9450" width="12.21875" customWidth="1"/>
    <col min="9451" max="9451" width="10.6640625" customWidth="1"/>
    <col min="9452" max="9452" width="23" customWidth="1"/>
    <col min="9453" max="9453" width="4.77734375" customWidth="1"/>
    <col min="9458" max="9460" width="10.44140625" bestFit="1" customWidth="1"/>
    <col min="9698" max="9698" width="0.77734375" customWidth="1"/>
    <col min="9699" max="9699" width="57.44140625" customWidth="1"/>
    <col min="9700" max="9700" width="1.33203125" customWidth="1"/>
    <col min="9701" max="9705" width="10.44140625" customWidth="1"/>
    <col min="9706" max="9706" width="12.21875" customWidth="1"/>
    <col min="9707" max="9707" width="10.6640625" customWidth="1"/>
    <col min="9708" max="9708" width="23" customWidth="1"/>
    <col min="9709" max="9709" width="4.77734375" customWidth="1"/>
    <col min="9714" max="9716" width="10.44140625" bestFit="1" customWidth="1"/>
    <col min="9954" max="9954" width="0.77734375" customWidth="1"/>
    <col min="9955" max="9955" width="57.44140625" customWidth="1"/>
    <col min="9956" max="9956" width="1.33203125" customWidth="1"/>
    <col min="9957" max="9961" width="10.44140625" customWidth="1"/>
    <col min="9962" max="9962" width="12.21875" customWidth="1"/>
    <col min="9963" max="9963" width="10.6640625" customWidth="1"/>
    <col min="9964" max="9964" width="23" customWidth="1"/>
    <col min="9965" max="9965" width="4.77734375" customWidth="1"/>
    <col min="9970" max="9972" width="10.44140625" bestFit="1" customWidth="1"/>
    <col min="10210" max="10210" width="0.77734375" customWidth="1"/>
    <col min="10211" max="10211" width="57.44140625" customWidth="1"/>
    <col min="10212" max="10212" width="1.33203125" customWidth="1"/>
    <col min="10213" max="10217" width="10.44140625" customWidth="1"/>
    <col min="10218" max="10218" width="12.21875" customWidth="1"/>
    <col min="10219" max="10219" width="10.6640625" customWidth="1"/>
    <col min="10220" max="10220" width="23" customWidth="1"/>
    <col min="10221" max="10221" width="4.77734375" customWidth="1"/>
    <col min="10226" max="10228" width="10.44140625" bestFit="1" customWidth="1"/>
    <col min="10466" max="10466" width="0.77734375" customWidth="1"/>
    <col min="10467" max="10467" width="57.44140625" customWidth="1"/>
    <col min="10468" max="10468" width="1.33203125" customWidth="1"/>
    <col min="10469" max="10473" width="10.44140625" customWidth="1"/>
    <col min="10474" max="10474" width="12.21875" customWidth="1"/>
    <col min="10475" max="10475" width="10.6640625" customWidth="1"/>
    <col min="10476" max="10476" width="23" customWidth="1"/>
    <col min="10477" max="10477" width="4.77734375" customWidth="1"/>
    <col min="10482" max="10484" width="10.44140625" bestFit="1" customWidth="1"/>
    <col min="10722" max="10722" width="0.77734375" customWidth="1"/>
    <col min="10723" max="10723" width="57.44140625" customWidth="1"/>
    <col min="10724" max="10724" width="1.33203125" customWidth="1"/>
    <col min="10725" max="10729" width="10.44140625" customWidth="1"/>
    <col min="10730" max="10730" width="12.21875" customWidth="1"/>
    <col min="10731" max="10731" width="10.6640625" customWidth="1"/>
    <col min="10732" max="10732" width="23" customWidth="1"/>
    <col min="10733" max="10733" width="4.77734375" customWidth="1"/>
    <col min="10738" max="10740" width="10.44140625" bestFit="1" customWidth="1"/>
    <col min="10978" max="10978" width="0.77734375" customWidth="1"/>
    <col min="10979" max="10979" width="57.44140625" customWidth="1"/>
    <col min="10980" max="10980" width="1.33203125" customWidth="1"/>
    <col min="10981" max="10985" width="10.44140625" customWidth="1"/>
    <col min="10986" max="10986" width="12.21875" customWidth="1"/>
    <col min="10987" max="10987" width="10.6640625" customWidth="1"/>
    <col min="10988" max="10988" width="23" customWidth="1"/>
    <col min="10989" max="10989" width="4.77734375" customWidth="1"/>
    <col min="10994" max="10996" width="10.44140625" bestFit="1" customWidth="1"/>
    <col min="11234" max="11234" width="0.77734375" customWidth="1"/>
    <col min="11235" max="11235" width="57.44140625" customWidth="1"/>
    <col min="11236" max="11236" width="1.33203125" customWidth="1"/>
    <col min="11237" max="11241" width="10.44140625" customWidth="1"/>
    <col min="11242" max="11242" width="12.21875" customWidth="1"/>
    <col min="11243" max="11243" width="10.6640625" customWidth="1"/>
    <col min="11244" max="11244" width="23" customWidth="1"/>
    <col min="11245" max="11245" width="4.77734375" customWidth="1"/>
    <col min="11250" max="11252" width="10.44140625" bestFit="1" customWidth="1"/>
    <col min="11490" max="11490" width="0.77734375" customWidth="1"/>
    <col min="11491" max="11491" width="57.44140625" customWidth="1"/>
    <col min="11492" max="11492" width="1.33203125" customWidth="1"/>
    <col min="11493" max="11497" width="10.44140625" customWidth="1"/>
    <col min="11498" max="11498" width="12.21875" customWidth="1"/>
    <col min="11499" max="11499" width="10.6640625" customWidth="1"/>
    <col min="11500" max="11500" width="23" customWidth="1"/>
    <col min="11501" max="11501" width="4.77734375" customWidth="1"/>
    <col min="11506" max="11508" width="10.44140625" bestFit="1" customWidth="1"/>
    <col min="11746" max="11746" width="0.77734375" customWidth="1"/>
    <col min="11747" max="11747" width="57.44140625" customWidth="1"/>
    <col min="11748" max="11748" width="1.33203125" customWidth="1"/>
    <col min="11749" max="11753" width="10.44140625" customWidth="1"/>
    <col min="11754" max="11754" width="12.21875" customWidth="1"/>
    <col min="11755" max="11755" width="10.6640625" customWidth="1"/>
    <col min="11756" max="11756" width="23" customWidth="1"/>
    <col min="11757" max="11757" width="4.77734375" customWidth="1"/>
    <col min="11762" max="11764" width="10.44140625" bestFit="1" customWidth="1"/>
    <col min="12002" max="12002" width="0.77734375" customWidth="1"/>
    <col min="12003" max="12003" width="57.44140625" customWidth="1"/>
    <col min="12004" max="12004" width="1.33203125" customWidth="1"/>
    <col min="12005" max="12009" width="10.44140625" customWidth="1"/>
    <col min="12010" max="12010" width="12.21875" customWidth="1"/>
    <col min="12011" max="12011" width="10.6640625" customWidth="1"/>
    <col min="12012" max="12012" width="23" customWidth="1"/>
    <col min="12013" max="12013" width="4.77734375" customWidth="1"/>
    <col min="12018" max="12020" width="10.44140625" bestFit="1" customWidth="1"/>
    <col min="12258" max="12258" width="0.77734375" customWidth="1"/>
    <col min="12259" max="12259" width="57.44140625" customWidth="1"/>
    <col min="12260" max="12260" width="1.33203125" customWidth="1"/>
    <col min="12261" max="12265" width="10.44140625" customWidth="1"/>
    <col min="12266" max="12266" width="12.21875" customWidth="1"/>
    <col min="12267" max="12267" width="10.6640625" customWidth="1"/>
    <col min="12268" max="12268" width="23" customWidth="1"/>
    <col min="12269" max="12269" width="4.77734375" customWidth="1"/>
    <col min="12274" max="12276" width="10.44140625" bestFit="1" customWidth="1"/>
    <col min="12514" max="12514" width="0.77734375" customWidth="1"/>
    <col min="12515" max="12515" width="57.44140625" customWidth="1"/>
    <col min="12516" max="12516" width="1.33203125" customWidth="1"/>
    <col min="12517" max="12521" width="10.44140625" customWidth="1"/>
    <col min="12522" max="12522" width="12.21875" customWidth="1"/>
    <col min="12523" max="12523" width="10.6640625" customWidth="1"/>
    <col min="12524" max="12524" width="23" customWidth="1"/>
    <col min="12525" max="12525" width="4.77734375" customWidth="1"/>
    <col min="12530" max="12532" width="10.44140625" bestFit="1" customWidth="1"/>
    <col min="12770" max="12770" width="0.77734375" customWidth="1"/>
    <col min="12771" max="12771" width="57.44140625" customWidth="1"/>
    <col min="12772" max="12772" width="1.33203125" customWidth="1"/>
    <col min="12773" max="12777" width="10.44140625" customWidth="1"/>
    <col min="12778" max="12778" width="12.21875" customWidth="1"/>
    <col min="12779" max="12779" width="10.6640625" customWidth="1"/>
    <col min="12780" max="12780" width="23" customWidth="1"/>
    <col min="12781" max="12781" width="4.77734375" customWidth="1"/>
    <col min="12786" max="12788" width="10.44140625" bestFit="1" customWidth="1"/>
    <col min="13026" max="13026" width="0.77734375" customWidth="1"/>
    <col min="13027" max="13027" width="57.44140625" customWidth="1"/>
    <col min="13028" max="13028" width="1.33203125" customWidth="1"/>
    <col min="13029" max="13033" width="10.44140625" customWidth="1"/>
    <col min="13034" max="13034" width="12.21875" customWidth="1"/>
    <col min="13035" max="13035" width="10.6640625" customWidth="1"/>
    <col min="13036" max="13036" width="23" customWidth="1"/>
    <col min="13037" max="13037" width="4.77734375" customWidth="1"/>
    <col min="13042" max="13044" width="10.44140625" bestFit="1" customWidth="1"/>
    <col min="13282" max="13282" width="0.77734375" customWidth="1"/>
    <col min="13283" max="13283" width="57.44140625" customWidth="1"/>
    <col min="13284" max="13284" width="1.33203125" customWidth="1"/>
    <col min="13285" max="13289" width="10.44140625" customWidth="1"/>
    <col min="13290" max="13290" width="12.21875" customWidth="1"/>
    <col min="13291" max="13291" width="10.6640625" customWidth="1"/>
    <col min="13292" max="13292" width="23" customWidth="1"/>
    <col min="13293" max="13293" width="4.77734375" customWidth="1"/>
    <col min="13298" max="13300" width="10.44140625" bestFit="1" customWidth="1"/>
    <col min="13538" max="13538" width="0.77734375" customWidth="1"/>
    <col min="13539" max="13539" width="57.44140625" customWidth="1"/>
    <col min="13540" max="13540" width="1.33203125" customWidth="1"/>
    <col min="13541" max="13545" width="10.44140625" customWidth="1"/>
    <col min="13546" max="13546" width="12.21875" customWidth="1"/>
    <col min="13547" max="13547" width="10.6640625" customWidth="1"/>
    <col min="13548" max="13548" width="23" customWidth="1"/>
    <col min="13549" max="13549" width="4.77734375" customWidth="1"/>
    <col min="13554" max="13556" width="10.44140625" bestFit="1" customWidth="1"/>
    <col min="13794" max="13794" width="0.77734375" customWidth="1"/>
    <col min="13795" max="13795" width="57.44140625" customWidth="1"/>
    <col min="13796" max="13796" width="1.33203125" customWidth="1"/>
    <col min="13797" max="13801" width="10.44140625" customWidth="1"/>
    <col min="13802" max="13802" width="12.21875" customWidth="1"/>
    <col min="13803" max="13803" width="10.6640625" customWidth="1"/>
    <col min="13804" max="13804" width="23" customWidth="1"/>
    <col min="13805" max="13805" width="4.77734375" customWidth="1"/>
    <col min="13810" max="13812" width="10.44140625" bestFit="1" customWidth="1"/>
    <col min="14050" max="14050" width="0.77734375" customWidth="1"/>
    <col min="14051" max="14051" width="57.44140625" customWidth="1"/>
    <col min="14052" max="14052" width="1.33203125" customWidth="1"/>
    <col min="14053" max="14057" width="10.44140625" customWidth="1"/>
    <col min="14058" max="14058" width="12.21875" customWidth="1"/>
    <col min="14059" max="14059" width="10.6640625" customWidth="1"/>
    <col min="14060" max="14060" width="23" customWidth="1"/>
    <col min="14061" max="14061" width="4.77734375" customWidth="1"/>
    <col min="14066" max="14068" width="10.44140625" bestFit="1" customWidth="1"/>
    <col min="14306" max="14306" width="0.77734375" customWidth="1"/>
    <col min="14307" max="14307" width="57.44140625" customWidth="1"/>
    <col min="14308" max="14308" width="1.33203125" customWidth="1"/>
    <col min="14309" max="14313" width="10.44140625" customWidth="1"/>
    <col min="14314" max="14314" width="12.21875" customWidth="1"/>
    <col min="14315" max="14315" width="10.6640625" customWidth="1"/>
    <col min="14316" max="14316" width="23" customWidth="1"/>
    <col min="14317" max="14317" width="4.77734375" customWidth="1"/>
    <col min="14322" max="14324" width="10.44140625" bestFit="1" customWidth="1"/>
    <col min="14562" max="14562" width="0.77734375" customWidth="1"/>
    <col min="14563" max="14563" width="57.44140625" customWidth="1"/>
    <col min="14564" max="14564" width="1.33203125" customWidth="1"/>
    <col min="14565" max="14569" width="10.44140625" customWidth="1"/>
    <col min="14570" max="14570" width="12.21875" customWidth="1"/>
    <col min="14571" max="14571" width="10.6640625" customWidth="1"/>
    <col min="14572" max="14572" width="23" customWidth="1"/>
    <col min="14573" max="14573" width="4.77734375" customWidth="1"/>
    <col min="14578" max="14580" width="10.44140625" bestFit="1" customWidth="1"/>
    <col min="14818" max="14818" width="0.77734375" customWidth="1"/>
    <col min="14819" max="14819" width="57.44140625" customWidth="1"/>
    <col min="14820" max="14820" width="1.33203125" customWidth="1"/>
    <col min="14821" max="14825" width="10.44140625" customWidth="1"/>
    <col min="14826" max="14826" width="12.21875" customWidth="1"/>
    <col min="14827" max="14827" width="10.6640625" customWidth="1"/>
    <col min="14828" max="14828" width="23" customWidth="1"/>
    <col min="14829" max="14829" width="4.77734375" customWidth="1"/>
    <col min="14834" max="14836" width="10.44140625" bestFit="1" customWidth="1"/>
    <col min="15074" max="15074" width="0.77734375" customWidth="1"/>
    <col min="15075" max="15075" width="57.44140625" customWidth="1"/>
    <col min="15076" max="15076" width="1.33203125" customWidth="1"/>
    <col min="15077" max="15081" width="10.44140625" customWidth="1"/>
    <col min="15082" max="15082" width="12.21875" customWidth="1"/>
    <col min="15083" max="15083" width="10.6640625" customWidth="1"/>
    <col min="15084" max="15084" width="23" customWidth="1"/>
    <col min="15085" max="15085" width="4.77734375" customWidth="1"/>
    <col min="15090" max="15092" width="10.44140625" bestFit="1" customWidth="1"/>
    <col min="15330" max="15330" width="0.77734375" customWidth="1"/>
    <col min="15331" max="15331" width="57.44140625" customWidth="1"/>
    <col min="15332" max="15332" width="1.33203125" customWidth="1"/>
    <col min="15333" max="15337" width="10.44140625" customWidth="1"/>
    <col min="15338" max="15338" width="12.21875" customWidth="1"/>
    <col min="15339" max="15339" width="10.6640625" customWidth="1"/>
    <col min="15340" max="15340" width="23" customWidth="1"/>
    <col min="15341" max="15341" width="4.77734375" customWidth="1"/>
    <col min="15346" max="15348" width="10.44140625" bestFit="1" customWidth="1"/>
    <col min="15586" max="15586" width="0.77734375" customWidth="1"/>
    <col min="15587" max="15587" width="57.44140625" customWidth="1"/>
    <col min="15588" max="15588" width="1.33203125" customWidth="1"/>
    <col min="15589" max="15593" width="10.44140625" customWidth="1"/>
    <col min="15594" max="15594" width="12.21875" customWidth="1"/>
    <col min="15595" max="15595" width="10.6640625" customWidth="1"/>
    <col min="15596" max="15596" width="23" customWidth="1"/>
    <col min="15597" max="15597" width="4.77734375" customWidth="1"/>
    <col min="15602" max="15604" width="10.44140625" bestFit="1" customWidth="1"/>
    <col min="15842" max="15842" width="0.77734375" customWidth="1"/>
    <col min="15843" max="15843" width="57.44140625" customWidth="1"/>
    <col min="15844" max="15844" width="1.33203125" customWidth="1"/>
    <col min="15845" max="15849" width="10.44140625" customWidth="1"/>
    <col min="15850" max="15850" width="12.21875" customWidth="1"/>
    <col min="15851" max="15851" width="10.6640625" customWidth="1"/>
    <col min="15852" max="15852" width="23" customWidth="1"/>
    <col min="15853" max="15853" width="4.77734375" customWidth="1"/>
    <col min="15858" max="15860" width="10.44140625" bestFit="1" customWidth="1"/>
    <col min="16098" max="16098" width="0.77734375" customWidth="1"/>
    <col min="16099" max="16099" width="57.44140625" customWidth="1"/>
    <col min="16100" max="16100" width="1.33203125" customWidth="1"/>
    <col min="16101" max="16105" width="10.44140625" customWidth="1"/>
    <col min="16106" max="16106" width="12.21875" customWidth="1"/>
    <col min="16107" max="16107" width="10.6640625" customWidth="1"/>
    <col min="16108" max="16108" width="23" customWidth="1"/>
    <col min="16109" max="16109" width="4.77734375" customWidth="1"/>
    <col min="16114" max="16116" width="10.44140625" bestFit="1" customWidth="1"/>
  </cols>
  <sheetData>
    <row r="1" spans="1:25" ht="21">
      <c r="A1" s="21" t="s">
        <v>99</v>
      </c>
      <c r="B1" s="20"/>
      <c r="C1" s="19"/>
      <c r="D1" s="19"/>
      <c r="E1" s="19"/>
      <c r="F1" s="19"/>
      <c r="G1" s="19"/>
      <c r="H1" s="19"/>
      <c r="I1" s="20"/>
    </row>
    <row r="2" spans="1:25" ht="21">
      <c r="A2" s="15" t="s">
        <v>42</v>
      </c>
      <c r="B2" s="20"/>
      <c r="C2" s="19"/>
      <c r="D2" s="19"/>
      <c r="E2" s="19"/>
      <c r="F2" s="19"/>
      <c r="G2" s="19"/>
      <c r="H2" s="19"/>
      <c r="I2" s="20"/>
    </row>
    <row r="3" spans="1:25" ht="14.25" customHeight="1">
      <c r="A3" s="244"/>
      <c r="B3" s="244"/>
      <c r="C3" s="245"/>
      <c r="D3" s="245"/>
      <c r="E3" s="245"/>
      <c r="F3" s="245"/>
      <c r="G3" s="245"/>
      <c r="H3" s="245"/>
      <c r="I3" s="244"/>
      <c r="J3" s="244"/>
    </row>
    <row r="4" spans="1:25" ht="21">
      <c r="A4" s="246" t="s">
        <v>0</v>
      </c>
      <c r="B4" s="247"/>
      <c r="C4" s="248">
        <v>2010</v>
      </c>
      <c r="D4" s="248">
        <v>2011</v>
      </c>
      <c r="E4" s="248">
        <v>2012</v>
      </c>
      <c r="F4" s="248">
        <v>2013</v>
      </c>
      <c r="G4" s="248">
        <v>2014</v>
      </c>
      <c r="H4" s="248">
        <v>2015</v>
      </c>
      <c r="I4" s="248">
        <v>2016</v>
      </c>
      <c r="J4" s="248">
        <v>2017</v>
      </c>
    </row>
    <row r="5" spans="1:25" ht="21">
      <c r="A5" s="179"/>
      <c r="B5" s="179"/>
      <c r="C5" s="23" t="s">
        <v>3</v>
      </c>
      <c r="D5" s="23" t="s">
        <v>3</v>
      </c>
      <c r="E5" s="23" t="s">
        <v>3</v>
      </c>
      <c r="F5" s="23" t="s">
        <v>3</v>
      </c>
      <c r="G5" s="23" t="s">
        <v>3</v>
      </c>
      <c r="H5" s="23" t="s">
        <v>3</v>
      </c>
      <c r="I5" s="23" t="s">
        <v>3</v>
      </c>
      <c r="J5" s="23" t="s">
        <v>3</v>
      </c>
    </row>
    <row r="6" spans="1:25" s="54" customFormat="1" ht="21">
      <c r="A6" s="179"/>
      <c r="B6" s="179"/>
      <c r="C6" s="23"/>
      <c r="D6" s="23"/>
      <c r="E6" s="23"/>
      <c r="F6" s="23"/>
      <c r="G6" s="23"/>
      <c r="H6" s="23"/>
      <c r="I6" s="23"/>
      <c r="J6" s="23"/>
    </row>
    <row r="7" spans="1:25" ht="21" customHeight="1">
      <c r="A7" s="184" t="s">
        <v>147</v>
      </c>
      <c r="B7" s="60"/>
      <c r="C7" s="185"/>
      <c r="D7" s="185"/>
      <c r="E7" s="185"/>
      <c r="F7" s="185"/>
      <c r="G7" s="185"/>
      <c r="H7" s="185"/>
      <c r="I7" s="185"/>
      <c r="J7" s="185">
        <v>105</v>
      </c>
    </row>
    <row r="8" spans="1:25" s="2" customFormat="1" ht="21" customHeight="1">
      <c r="A8" s="184" t="s">
        <v>208</v>
      </c>
      <c r="B8" s="60"/>
      <c r="C8" s="23"/>
      <c r="D8" s="23"/>
      <c r="E8" s="23"/>
      <c r="F8" s="23"/>
      <c r="G8" s="186" t="s">
        <v>2</v>
      </c>
      <c r="H8" s="186"/>
      <c r="I8" s="186"/>
      <c r="J8" s="186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</row>
    <row r="9" spans="1:25" s="2" customFormat="1" ht="21" customHeight="1">
      <c r="A9" s="249" t="s">
        <v>209</v>
      </c>
      <c r="B9" s="60"/>
      <c r="C9" s="23">
        <v>1931.085</v>
      </c>
      <c r="D9" s="23">
        <v>2986.9279999999999</v>
      </c>
      <c r="E9" s="23">
        <v>3019.3890000000001</v>
      </c>
      <c r="F9" s="23">
        <v>3655.6779999999999</v>
      </c>
      <c r="G9" s="186">
        <v>3108</v>
      </c>
      <c r="H9" s="186">
        <v>2707.8</v>
      </c>
      <c r="I9" s="186">
        <v>3104</v>
      </c>
      <c r="J9" s="186">
        <v>4685</v>
      </c>
      <c r="L9" s="140"/>
      <c r="M9" s="141"/>
      <c r="N9" s="142"/>
      <c r="O9" s="142"/>
      <c r="P9" s="140"/>
      <c r="Q9" s="140"/>
      <c r="R9" s="140"/>
      <c r="S9" s="140"/>
      <c r="T9" s="140"/>
      <c r="U9" s="140"/>
      <c r="V9" s="140"/>
      <c r="W9" s="140"/>
      <c r="X9" s="140"/>
      <c r="Y9" s="140"/>
    </row>
    <row r="10" spans="1:25" s="2" customFormat="1" ht="21" customHeight="1">
      <c r="A10" s="184" t="s">
        <v>109</v>
      </c>
      <c r="B10" s="60"/>
      <c r="C10" s="23">
        <f>SUM(C11:C14)</f>
        <v>882.755</v>
      </c>
      <c r="D10" s="23">
        <f t="shared" ref="D10:I10" si="0">SUM(D11:D14)</f>
        <v>1834.124</v>
      </c>
      <c r="E10" s="23">
        <f t="shared" si="0"/>
        <v>1901.405</v>
      </c>
      <c r="F10" s="23">
        <f t="shared" si="0"/>
        <v>2128.7159999999999</v>
      </c>
      <c r="G10" s="23">
        <f t="shared" si="0"/>
        <v>1923</v>
      </c>
      <c r="H10" s="23">
        <f t="shared" si="0"/>
        <v>1702.7999999999997</v>
      </c>
      <c r="I10" s="23">
        <f t="shared" si="0"/>
        <v>2453</v>
      </c>
      <c r="J10" s="23">
        <f t="shared" ref="J10" si="1">SUM(J11:J14)</f>
        <v>1940</v>
      </c>
      <c r="L10" s="140"/>
      <c r="M10" s="143"/>
      <c r="N10" s="86"/>
      <c r="O10" s="85"/>
      <c r="P10" s="140"/>
      <c r="Q10" s="140"/>
      <c r="R10" s="140"/>
      <c r="S10" s="140"/>
      <c r="T10" s="144"/>
      <c r="U10" s="144"/>
      <c r="V10" s="140"/>
      <c r="W10" s="140"/>
      <c r="X10" s="140"/>
      <c r="Y10" s="140"/>
    </row>
    <row r="11" spans="1:25" ht="21" customHeight="1">
      <c r="A11" s="187" t="s">
        <v>14</v>
      </c>
      <c r="B11" s="60"/>
      <c r="C11" s="23">
        <v>4.18</v>
      </c>
      <c r="D11" s="23">
        <v>14.355</v>
      </c>
      <c r="E11" s="23">
        <v>12.537000000000001</v>
      </c>
      <c r="F11" s="23">
        <v>9.7469999999999999</v>
      </c>
      <c r="G11" s="186">
        <v>10</v>
      </c>
      <c r="H11" s="186">
        <v>8.8000000000000007</v>
      </c>
      <c r="I11" s="186">
        <v>7</v>
      </c>
      <c r="J11" s="186">
        <v>20</v>
      </c>
      <c r="L11" s="139"/>
      <c r="M11" s="143"/>
      <c r="N11" s="86"/>
      <c r="O11" s="85"/>
      <c r="P11" s="139"/>
      <c r="Q11" s="139"/>
      <c r="R11" s="139"/>
      <c r="S11" s="139"/>
      <c r="T11" s="144"/>
      <c r="U11" s="144"/>
      <c r="V11" s="139"/>
      <c r="W11" s="139"/>
      <c r="X11" s="139"/>
      <c r="Y11" s="139"/>
    </row>
    <row r="12" spans="1:25" s="4" customFormat="1" ht="21" customHeight="1">
      <c r="A12" s="187" t="s">
        <v>15</v>
      </c>
      <c r="B12" s="60"/>
      <c r="C12" s="23">
        <v>748.61500000000001</v>
      </c>
      <c r="D12" s="23">
        <v>1003.33</v>
      </c>
      <c r="E12" s="23">
        <v>1253.7639999999999</v>
      </c>
      <c r="F12" s="23">
        <v>1205.0730000000001</v>
      </c>
      <c r="G12" s="186">
        <v>1263</v>
      </c>
      <c r="H12" s="186">
        <v>1109.8</v>
      </c>
      <c r="I12" s="186">
        <v>1523</v>
      </c>
      <c r="J12" s="186">
        <v>1130</v>
      </c>
      <c r="L12" s="145"/>
      <c r="M12" s="143"/>
      <c r="N12" s="86"/>
      <c r="O12" s="85"/>
      <c r="P12" s="145"/>
      <c r="Q12" s="145"/>
      <c r="R12" s="145"/>
      <c r="S12" s="145"/>
      <c r="T12" s="144"/>
      <c r="U12" s="144"/>
      <c r="V12" s="145"/>
      <c r="W12" s="145"/>
      <c r="X12" s="145"/>
      <c r="Y12" s="145"/>
    </row>
    <row r="13" spans="1:25" s="4" customFormat="1" ht="21" customHeight="1">
      <c r="A13" s="187" t="s">
        <v>16</v>
      </c>
      <c r="B13" s="60"/>
      <c r="C13" s="23">
        <v>129.96</v>
      </c>
      <c r="D13" s="23">
        <v>816.43899999999996</v>
      </c>
      <c r="E13" s="23">
        <v>635.10400000000004</v>
      </c>
      <c r="F13" s="23">
        <v>903.53700000000003</v>
      </c>
      <c r="G13" s="186">
        <v>634</v>
      </c>
      <c r="H13" s="186">
        <v>574.6</v>
      </c>
      <c r="I13" s="186">
        <v>867</v>
      </c>
      <c r="J13" s="186">
        <v>716</v>
      </c>
      <c r="L13" s="145"/>
      <c r="M13" s="143"/>
      <c r="N13" s="86"/>
      <c r="O13" s="85"/>
      <c r="P13" s="145"/>
      <c r="Q13" s="145"/>
      <c r="R13" s="145"/>
      <c r="S13" s="145"/>
      <c r="T13" s="144"/>
      <c r="U13" s="144"/>
      <c r="V13" s="145"/>
      <c r="W13" s="145"/>
      <c r="X13" s="145"/>
      <c r="Y13" s="145"/>
    </row>
    <row r="14" spans="1:25" s="4" customFormat="1" ht="21" customHeight="1">
      <c r="A14" s="187" t="s">
        <v>24</v>
      </c>
      <c r="B14" s="60"/>
      <c r="C14" s="23">
        <v>0</v>
      </c>
      <c r="D14" s="23">
        <v>0</v>
      </c>
      <c r="E14" s="23">
        <v>0</v>
      </c>
      <c r="F14" s="23">
        <v>10.359</v>
      </c>
      <c r="G14" s="186">
        <v>16</v>
      </c>
      <c r="H14" s="186">
        <v>9.6</v>
      </c>
      <c r="I14" s="186">
        <v>56</v>
      </c>
      <c r="J14" s="186">
        <v>74</v>
      </c>
      <c r="L14" s="145"/>
      <c r="M14" s="143"/>
      <c r="N14" s="86"/>
      <c r="O14" s="85"/>
      <c r="P14" s="145"/>
      <c r="Q14" s="145"/>
      <c r="R14" s="145"/>
      <c r="S14" s="145"/>
      <c r="T14" s="144"/>
      <c r="U14" s="144"/>
      <c r="V14" s="145"/>
      <c r="W14" s="145"/>
      <c r="X14" s="145"/>
      <c r="Y14" s="145"/>
    </row>
    <row r="15" spans="1:25" s="4" customFormat="1" ht="21" customHeight="1">
      <c r="A15" s="187"/>
      <c r="B15" s="60"/>
      <c r="C15" s="23"/>
      <c r="D15" s="23"/>
      <c r="E15" s="23"/>
      <c r="F15" s="23"/>
      <c r="G15" s="186"/>
      <c r="H15" s="186"/>
      <c r="I15" s="186"/>
      <c r="J15" s="186"/>
      <c r="L15" s="145"/>
      <c r="M15" s="143"/>
      <c r="N15" s="86"/>
      <c r="O15" s="85"/>
      <c r="P15" s="145"/>
      <c r="Q15" s="145"/>
      <c r="R15" s="145"/>
      <c r="S15" s="145"/>
      <c r="T15" s="144"/>
      <c r="U15" s="144"/>
      <c r="V15" s="145"/>
      <c r="W15" s="145"/>
      <c r="X15" s="145"/>
      <c r="Y15" s="145"/>
    </row>
    <row r="16" spans="1:25" s="6" customFormat="1" ht="25.5" customHeight="1">
      <c r="A16" s="188" t="s">
        <v>26</v>
      </c>
      <c r="B16" s="181"/>
      <c r="C16" s="182">
        <f t="shared" ref="C16:H16" si="2">SUM(C9:C10)</f>
        <v>2813.84</v>
      </c>
      <c r="D16" s="182">
        <f t="shared" si="2"/>
        <v>4821.0519999999997</v>
      </c>
      <c r="E16" s="182">
        <f t="shared" si="2"/>
        <v>4920.7939999999999</v>
      </c>
      <c r="F16" s="182">
        <f t="shared" si="2"/>
        <v>5784.3940000000002</v>
      </c>
      <c r="G16" s="182">
        <f t="shared" si="2"/>
        <v>5031</v>
      </c>
      <c r="H16" s="182">
        <f t="shared" si="2"/>
        <v>4410.6000000000004</v>
      </c>
      <c r="I16" s="182">
        <f>SUM(I9:I10)</f>
        <v>5557</v>
      </c>
      <c r="J16" s="182">
        <f>SUM(J7:J10)</f>
        <v>6730</v>
      </c>
      <c r="L16" s="145"/>
      <c r="M16" s="143"/>
      <c r="N16" s="86"/>
      <c r="O16" s="85"/>
      <c r="P16" s="145"/>
      <c r="Q16" s="145"/>
      <c r="R16" s="145"/>
      <c r="S16" s="145"/>
      <c r="T16" s="144"/>
      <c r="U16" s="144"/>
      <c r="V16" s="145"/>
      <c r="W16" s="145"/>
      <c r="X16" s="145"/>
      <c r="Y16" s="145"/>
    </row>
    <row r="17" spans="1:25" s="5" customFormat="1" ht="21" customHeight="1">
      <c r="A17" s="179"/>
      <c r="B17" s="60"/>
      <c r="C17" s="62"/>
      <c r="D17" s="62"/>
      <c r="E17" s="62"/>
      <c r="F17" s="62"/>
      <c r="G17" s="62"/>
      <c r="H17" s="62"/>
      <c r="I17" s="62"/>
      <c r="J17" s="62"/>
      <c r="L17" s="146"/>
      <c r="M17" s="139"/>
      <c r="N17" s="139"/>
      <c r="O17" s="139"/>
      <c r="P17" s="139"/>
      <c r="Q17" s="146"/>
      <c r="R17" s="146"/>
      <c r="S17" s="146"/>
      <c r="T17" s="146"/>
      <c r="U17" s="146"/>
      <c r="V17" s="146"/>
      <c r="W17" s="146"/>
      <c r="X17" s="146"/>
      <c r="Y17" s="146"/>
    </row>
    <row r="18" spans="1:25" ht="21" customHeight="1">
      <c r="A18" s="184" t="s">
        <v>27</v>
      </c>
      <c r="B18" s="60"/>
      <c r="C18" s="62"/>
      <c r="D18" s="62"/>
      <c r="E18" s="62"/>
      <c r="F18" s="62"/>
      <c r="G18" s="62"/>
      <c r="H18" s="62"/>
      <c r="I18" s="62"/>
      <c r="J18" s="62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</row>
    <row r="19" spans="1:25" ht="21" customHeight="1">
      <c r="A19" s="179" t="s">
        <v>8</v>
      </c>
      <c r="B19" s="60"/>
      <c r="C19" s="61">
        <v>206.90199999999999</v>
      </c>
      <c r="D19" s="61">
        <v>162.37700000000001</v>
      </c>
      <c r="E19" s="61">
        <v>199.607</v>
      </c>
      <c r="F19" s="61">
        <v>705.68</v>
      </c>
      <c r="G19" s="61">
        <v>471</v>
      </c>
      <c r="H19" s="61">
        <v>1602</v>
      </c>
      <c r="I19" s="61">
        <v>1225</v>
      </c>
      <c r="J19" s="61">
        <v>1549</v>
      </c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</row>
    <row r="20" spans="1:25" ht="21" customHeight="1">
      <c r="A20" s="179" t="s">
        <v>9</v>
      </c>
      <c r="B20" s="60"/>
      <c r="C20" s="61">
        <v>104.68300000000001</v>
      </c>
      <c r="D20" s="61">
        <v>151.054</v>
      </c>
      <c r="E20" s="61">
        <v>168.74100000000001</v>
      </c>
      <c r="F20" s="61">
        <v>211.977</v>
      </c>
      <c r="G20" s="61">
        <v>214</v>
      </c>
      <c r="H20" s="61">
        <v>263</v>
      </c>
      <c r="I20" s="61">
        <v>114</v>
      </c>
      <c r="J20" s="61">
        <v>63</v>
      </c>
      <c r="L20" s="139"/>
      <c r="M20" s="147"/>
      <c r="N20" s="148"/>
      <c r="O20" s="148"/>
      <c r="P20" s="148"/>
      <c r="Q20" s="139"/>
      <c r="R20" s="139"/>
      <c r="S20" s="139"/>
      <c r="T20" s="139"/>
      <c r="U20" s="139"/>
      <c r="V20" s="139"/>
      <c r="W20" s="139"/>
      <c r="X20" s="139"/>
      <c r="Y20" s="139"/>
    </row>
    <row r="21" spans="1:25" ht="21" customHeight="1">
      <c r="A21" s="179" t="s">
        <v>28</v>
      </c>
      <c r="B21" s="60"/>
      <c r="C21" s="61">
        <v>457.82499999999999</v>
      </c>
      <c r="D21" s="61">
        <v>427.553</v>
      </c>
      <c r="E21" s="61">
        <v>496.21499999999997</v>
      </c>
      <c r="F21" s="61">
        <v>605.03899999999999</v>
      </c>
      <c r="G21" s="61">
        <v>559</v>
      </c>
      <c r="H21" s="61">
        <v>959</v>
      </c>
      <c r="I21" s="61">
        <v>518</v>
      </c>
      <c r="J21" s="61">
        <v>772</v>
      </c>
      <c r="L21" s="139"/>
      <c r="M21" s="147"/>
      <c r="N21" s="148"/>
      <c r="O21" s="148"/>
      <c r="P21" s="148"/>
      <c r="Q21" s="139"/>
      <c r="R21" s="139"/>
      <c r="S21" s="139"/>
      <c r="T21" s="139"/>
      <c r="U21" s="139"/>
      <c r="V21" s="139"/>
      <c r="W21" s="139"/>
      <c r="X21" s="139"/>
      <c r="Y21" s="139"/>
    </row>
    <row r="22" spans="1:25" ht="21" customHeight="1">
      <c r="A22" s="179" t="s">
        <v>10</v>
      </c>
      <c r="B22" s="60"/>
      <c r="C22" s="61">
        <v>95.254000000000005</v>
      </c>
      <c r="D22" s="61">
        <v>225.74600000000001</v>
      </c>
      <c r="E22" s="61">
        <v>173.15199999999999</v>
      </c>
      <c r="F22" s="61">
        <v>460.77699999999999</v>
      </c>
      <c r="G22" s="61">
        <v>536</v>
      </c>
      <c r="H22" s="61">
        <v>546</v>
      </c>
      <c r="I22" s="61">
        <v>600</v>
      </c>
      <c r="J22" s="61">
        <v>432</v>
      </c>
      <c r="L22" s="139"/>
      <c r="M22" s="147"/>
      <c r="N22" s="148"/>
      <c r="O22" s="148"/>
      <c r="P22" s="148"/>
      <c r="Q22" s="139"/>
      <c r="R22" s="139"/>
      <c r="S22" s="139"/>
      <c r="T22" s="139"/>
      <c r="U22" s="139"/>
      <c r="V22" s="139"/>
      <c r="W22" s="139"/>
      <c r="X22" s="139"/>
      <c r="Y22" s="139"/>
    </row>
    <row r="23" spans="1:25" ht="21" customHeight="1">
      <c r="A23" s="179" t="s">
        <v>29</v>
      </c>
      <c r="B23" s="60"/>
      <c r="C23" s="61">
        <v>153.76599999999999</v>
      </c>
      <c r="D23" s="61">
        <v>85.826999999999998</v>
      </c>
      <c r="E23" s="61">
        <v>34.747</v>
      </c>
      <c r="F23" s="61">
        <v>35.020000000000003</v>
      </c>
      <c r="G23" s="61">
        <v>50</v>
      </c>
      <c r="H23" s="61">
        <v>33</v>
      </c>
      <c r="I23" s="61">
        <v>164</v>
      </c>
      <c r="J23" s="61">
        <v>165</v>
      </c>
      <c r="L23" s="139"/>
      <c r="M23" s="147"/>
      <c r="N23" s="148"/>
      <c r="O23" s="148"/>
      <c r="P23" s="148"/>
      <c r="Q23" s="139"/>
      <c r="R23" s="139"/>
      <c r="S23" s="139"/>
      <c r="T23" s="139"/>
      <c r="U23" s="139"/>
      <c r="V23" s="139"/>
      <c r="W23" s="139"/>
      <c r="X23" s="139"/>
      <c r="Y23" s="139"/>
    </row>
    <row r="24" spans="1:25" ht="21" customHeight="1">
      <c r="A24" s="179" t="s">
        <v>30</v>
      </c>
      <c r="B24" s="60"/>
      <c r="C24" s="61">
        <v>106.845</v>
      </c>
      <c r="D24" s="61">
        <v>305.01499999999999</v>
      </c>
      <c r="E24" s="61">
        <v>168.06200000000001</v>
      </c>
      <c r="F24" s="61">
        <v>185.874</v>
      </c>
      <c r="G24" s="61">
        <v>145</v>
      </c>
      <c r="H24" s="61"/>
      <c r="I24" s="61"/>
      <c r="J24" s="61"/>
      <c r="L24" s="139"/>
      <c r="M24" s="147"/>
      <c r="N24" s="148"/>
      <c r="O24" s="148"/>
      <c r="P24" s="148"/>
      <c r="Q24" s="139"/>
      <c r="R24" s="139"/>
      <c r="S24" s="139"/>
      <c r="T24" s="139"/>
      <c r="U24" s="139"/>
      <c r="V24" s="139"/>
      <c r="W24" s="139"/>
      <c r="X24" s="139"/>
      <c r="Y24" s="139"/>
    </row>
    <row r="25" spans="1:25" ht="21" customHeight="1">
      <c r="A25" s="179" t="s">
        <v>31</v>
      </c>
      <c r="B25" s="60"/>
      <c r="C25" s="61">
        <v>1403.3589999999999</v>
      </c>
      <c r="D25" s="61">
        <v>1922.008</v>
      </c>
      <c r="E25" s="61">
        <v>1779.2349999999999</v>
      </c>
      <c r="F25" s="61">
        <v>2259.585</v>
      </c>
      <c r="G25" s="61">
        <v>2363</v>
      </c>
      <c r="H25" s="61"/>
      <c r="I25" s="61"/>
      <c r="J25" s="61"/>
      <c r="L25" s="139"/>
      <c r="M25" s="147"/>
      <c r="N25" s="148"/>
      <c r="O25" s="148"/>
      <c r="P25" s="148"/>
      <c r="Q25" s="139"/>
      <c r="R25" s="139"/>
      <c r="S25" s="139"/>
      <c r="T25" s="139"/>
      <c r="U25" s="139"/>
      <c r="V25" s="139"/>
      <c r="W25" s="139"/>
      <c r="X25" s="139"/>
      <c r="Y25" s="139"/>
    </row>
    <row r="26" spans="1:25" ht="21" customHeight="1">
      <c r="A26" s="179" t="s">
        <v>32</v>
      </c>
      <c r="B26" s="60"/>
      <c r="C26" s="61">
        <v>92.673000000000002</v>
      </c>
      <c r="D26" s="61">
        <v>71.965999999999994</v>
      </c>
      <c r="E26" s="61">
        <v>173.435</v>
      </c>
      <c r="F26" s="61">
        <v>154.59899999999999</v>
      </c>
      <c r="G26" s="61">
        <v>252</v>
      </c>
      <c r="H26" s="61"/>
      <c r="I26" s="61"/>
      <c r="J26" s="61"/>
      <c r="L26" s="139"/>
      <c r="M26" s="147"/>
      <c r="N26" s="148"/>
      <c r="O26" s="148"/>
      <c r="P26" s="148"/>
      <c r="Q26" s="139"/>
      <c r="R26" s="139"/>
      <c r="S26" s="139"/>
      <c r="T26" s="139"/>
      <c r="U26" s="139"/>
      <c r="V26" s="139"/>
      <c r="W26" s="139"/>
      <c r="X26" s="139"/>
      <c r="Y26" s="139"/>
    </row>
    <row r="27" spans="1:25" ht="21" customHeight="1">
      <c r="A27" s="179" t="s">
        <v>7</v>
      </c>
      <c r="B27" s="60"/>
      <c r="C27" s="61">
        <v>179.27500000000001</v>
      </c>
      <c r="D27" s="61">
        <v>362.63200000000001</v>
      </c>
      <c r="E27" s="61">
        <v>562.03099999999995</v>
      </c>
      <c r="F27" s="61">
        <v>451.54899999999998</v>
      </c>
      <c r="G27" s="61">
        <v>381</v>
      </c>
      <c r="H27" s="61"/>
      <c r="I27" s="61"/>
      <c r="J27" s="61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</row>
    <row r="28" spans="1:25" ht="21" customHeight="1">
      <c r="A28" s="179" t="s">
        <v>33</v>
      </c>
      <c r="B28" s="60"/>
      <c r="C28" s="61">
        <v>219.19200000000001</v>
      </c>
      <c r="D28" s="61">
        <v>958.04200000000003</v>
      </c>
      <c r="E28" s="61">
        <v>261.45699999999999</v>
      </c>
      <c r="F28" s="61">
        <v>1442.2090000000001</v>
      </c>
      <c r="G28" s="61">
        <v>54</v>
      </c>
      <c r="H28" s="61">
        <v>124</v>
      </c>
      <c r="I28" s="61">
        <v>996</v>
      </c>
      <c r="J28" s="61">
        <v>0</v>
      </c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</row>
    <row r="29" spans="1:25" ht="21" customHeight="1">
      <c r="A29" s="179" t="s">
        <v>11</v>
      </c>
      <c r="B29" s="60"/>
      <c r="C29" s="61"/>
      <c r="D29" s="61"/>
      <c r="E29" s="61"/>
      <c r="F29" s="61"/>
      <c r="G29" s="61"/>
      <c r="H29" s="61">
        <v>476</v>
      </c>
      <c r="I29" s="61">
        <v>352</v>
      </c>
      <c r="J29" s="61">
        <v>658</v>
      </c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</row>
    <row r="30" spans="1:25" ht="21" customHeight="1">
      <c r="A30" s="179" t="s">
        <v>46</v>
      </c>
      <c r="B30" s="60"/>
      <c r="C30" s="61"/>
      <c r="D30" s="61"/>
      <c r="E30" s="61"/>
      <c r="F30" s="61"/>
      <c r="G30" s="61"/>
      <c r="H30" s="61">
        <v>219</v>
      </c>
      <c r="I30" s="61">
        <v>117</v>
      </c>
      <c r="J30" s="61">
        <v>141</v>
      </c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</row>
    <row r="31" spans="1:25" ht="23.25" customHeight="1">
      <c r="A31" s="179" t="s">
        <v>179</v>
      </c>
      <c r="B31" s="60"/>
      <c r="C31" s="61"/>
      <c r="D31" s="61"/>
      <c r="E31" s="61"/>
      <c r="F31" s="61"/>
      <c r="G31" s="61"/>
      <c r="H31" s="61">
        <v>619</v>
      </c>
      <c r="I31" s="61">
        <f>682+3</f>
        <v>685</v>
      </c>
      <c r="J31" s="61">
        <f>766-7</f>
        <v>759</v>
      </c>
      <c r="M31" s="2"/>
      <c r="N31" s="2"/>
      <c r="O31" s="2"/>
      <c r="P31" s="2"/>
    </row>
    <row r="32" spans="1:25" s="2" customFormat="1" ht="21">
      <c r="A32" s="179" t="s">
        <v>12</v>
      </c>
      <c r="B32" s="60"/>
      <c r="C32" s="61"/>
      <c r="D32" s="61"/>
      <c r="E32" s="61"/>
      <c r="F32" s="61"/>
      <c r="G32" s="61"/>
      <c r="H32" s="61">
        <v>239</v>
      </c>
      <c r="I32" s="61">
        <v>506</v>
      </c>
      <c r="J32" s="61">
        <v>995</v>
      </c>
      <c r="M32"/>
      <c r="N32"/>
      <c r="O32"/>
      <c r="P32"/>
    </row>
    <row r="33" spans="1:16" s="1" customFormat="1" ht="21">
      <c r="A33" s="189" t="s">
        <v>50</v>
      </c>
      <c r="B33" s="181"/>
      <c r="C33" s="182">
        <f t="shared" ref="C33:I33" si="3">SUM(C19:C32)</f>
        <v>3019.7739999999999</v>
      </c>
      <c r="D33" s="182">
        <f t="shared" si="3"/>
        <v>4672.22</v>
      </c>
      <c r="E33" s="182">
        <f t="shared" si="3"/>
        <v>4016.6819999999998</v>
      </c>
      <c r="F33" s="182">
        <f t="shared" si="3"/>
        <v>6512.3089999999993</v>
      </c>
      <c r="G33" s="182">
        <f t="shared" si="3"/>
        <v>5025</v>
      </c>
      <c r="H33" s="182">
        <f t="shared" si="3"/>
        <v>5080</v>
      </c>
      <c r="I33" s="182">
        <f t="shared" si="3"/>
        <v>5277</v>
      </c>
      <c r="J33" s="182">
        <f t="shared" ref="J33" si="4">SUM(J19:J32)</f>
        <v>5534</v>
      </c>
      <c r="M33" s="11"/>
      <c r="N33" s="11"/>
      <c r="O33" s="11"/>
      <c r="P33" s="11"/>
    </row>
    <row r="34" spans="1:16" s="11" customFormat="1" ht="21">
      <c r="A34" s="190"/>
      <c r="B34" s="191"/>
      <c r="C34" s="192"/>
      <c r="D34" s="192"/>
      <c r="E34" s="192"/>
      <c r="F34" s="192"/>
      <c r="G34" s="192"/>
      <c r="H34" s="192"/>
      <c r="I34" s="192"/>
      <c r="J34" s="192"/>
      <c r="M34" s="1"/>
      <c r="N34" s="1"/>
      <c r="O34" s="1"/>
      <c r="P34" s="1"/>
    </row>
    <row r="35" spans="1:16" s="1" customFormat="1" ht="17.25" customHeight="1">
      <c r="A35" s="193" t="s">
        <v>34</v>
      </c>
      <c r="B35" s="192">
        <v>0</v>
      </c>
      <c r="C35" s="192">
        <f>+C16-C33</f>
        <v>-205.93399999999974</v>
      </c>
      <c r="D35" s="192">
        <f t="shared" ref="D35:F35" si="5">+D16-D33</f>
        <v>148.83199999999943</v>
      </c>
      <c r="E35" s="192">
        <f t="shared" si="5"/>
        <v>904.11200000000008</v>
      </c>
      <c r="F35" s="192">
        <f t="shared" si="5"/>
        <v>-727.91499999999905</v>
      </c>
      <c r="G35" s="192">
        <f>+G16-G33-1</f>
        <v>5</v>
      </c>
      <c r="H35" s="192">
        <f>+H16-H33</f>
        <v>-669.39999999999964</v>
      </c>
      <c r="I35" s="192">
        <f>+I16-I33</f>
        <v>280</v>
      </c>
      <c r="J35" s="192">
        <f>+J16-J33</f>
        <v>1196</v>
      </c>
    </row>
    <row r="36" spans="1:16">
      <c r="B36" s="4"/>
      <c r="C36" s="4"/>
      <c r="D36" s="4"/>
      <c r="E36" s="4"/>
      <c r="F36" s="4"/>
      <c r="G36" s="4"/>
      <c r="H36" s="4"/>
    </row>
    <row r="37" spans="1:16">
      <c r="B37" s="13"/>
      <c r="C37" s="13"/>
      <c r="D37" s="13"/>
      <c r="E37" s="13"/>
      <c r="F37" s="13"/>
      <c r="G37" s="13"/>
      <c r="H37" s="13"/>
      <c r="I37" s="31"/>
    </row>
    <row r="38" spans="1:16">
      <c r="B38" s="4"/>
    </row>
    <row r="39" spans="1:16">
      <c r="B39" s="4"/>
    </row>
    <row r="40" spans="1:16">
      <c r="B40" s="4"/>
    </row>
    <row r="41" spans="1:16">
      <c r="B41" s="4"/>
      <c r="M41" s="3"/>
      <c r="N41" s="3"/>
      <c r="O41" s="3"/>
      <c r="P41" s="3"/>
    </row>
    <row r="42" spans="1:16" s="3" customFormat="1">
      <c r="A42" s="1"/>
      <c r="B42" s="4"/>
      <c r="I42"/>
    </row>
    <row r="43" spans="1:16" s="3" customFormat="1">
      <c r="A43" s="1"/>
      <c r="B43" s="4"/>
      <c r="I43"/>
    </row>
    <row r="44" spans="1:16" s="3" customFormat="1">
      <c r="A44" s="1"/>
      <c r="B44" s="4"/>
      <c r="I44"/>
    </row>
    <row r="45" spans="1:16" s="3" customFormat="1">
      <c r="A45" s="1"/>
      <c r="B45" s="4"/>
      <c r="I45"/>
    </row>
    <row r="46" spans="1:16" s="3" customFormat="1">
      <c r="A46" s="1"/>
      <c r="B46" s="4"/>
      <c r="I46"/>
    </row>
    <row r="47" spans="1:16" s="3" customFormat="1">
      <c r="A47" s="1"/>
      <c r="B47" s="4"/>
      <c r="I47"/>
    </row>
    <row r="48" spans="1:16" s="3" customFormat="1">
      <c r="A48" s="1"/>
      <c r="B48" s="4"/>
      <c r="I48"/>
    </row>
    <row r="49" spans="1:9" s="3" customFormat="1">
      <c r="A49" s="1"/>
      <c r="B49" s="4"/>
      <c r="I49"/>
    </row>
    <row r="50" spans="1:9" s="3" customFormat="1">
      <c r="A50" s="1"/>
      <c r="B50" s="4"/>
      <c r="I50"/>
    </row>
    <row r="51" spans="1:9" s="3" customFormat="1">
      <c r="A51" s="1"/>
      <c r="B51" s="4"/>
      <c r="I51"/>
    </row>
    <row r="52" spans="1:9" s="3" customFormat="1">
      <c r="A52" s="1"/>
      <c r="B52" s="4"/>
      <c r="I52"/>
    </row>
    <row r="53" spans="1:9" s="3" customFormat="1">
      <c r="A53" s="1"/>
      <c r="B53" s="4"/>
      <c r="I53"/>
    </row>
    <row r="54" spans="1:9" s="3" customFormat="1">
      <c r="A54" s="1"/>
      <c r="B54" s="4"/>
      <c r="I54"/>
    </row>
    <row r="55" spans="1:9" s="3" customFormat="1">
      <c r="A55" s="1"/>
      <c r="B55" s="4"/>
      <c r="I55"/>
    </row>
    <row r="56" spans="1:9" s="3" customFormat="1">
      <c r="A56" s="1"/>
      <c r="B56" s="4"/>
      <c r="I56"/>
    </row>
    <row r="57" spans="1:9" s="3" customFormat="1">
      <c r="A57" s="1"/>
      <c r="B57" s="4"/>
      <c r="I57"/>
    </row>
    <row r="58" spans="1:9" s="3" customFormat="1">
      <c r="A58" s="1"/>
      <c r="B58" s="4"/>
      <c r="I58"/>
    </row>
    <row r="59" spans="1:9" s="3" customFormat="1">
      <c r="A59" s="1"/>
      <c r="B59" s="4"/>
      <c r="I59"/>
    </row>
    <row r="60" spans="1:9" s="3" customFormat="1">
      <c r="A60" s="1"/>
      <c r="B60" s="4"/>
      <c r="I60"/>
    </row>
    <row r="61" spans="1:9" s="3" customFormat="1">
      <c r="A61" s="1"/>
      <c r="B61" s="4"/>
      <c r="I61"/>
    </row>
    <row r="62" spans="1:9" s="3" customFormat="1">
      <c r="A62" s="1"/>
      <c r="B62" s="4"/>
      <c r="I62"/>
    </row>
    <row r="63" spans="1:9" s="3" customFormat="1">
      <c r="A63" s="1"/>
      <c r="B63" s="4"/>
      <c r="I63"/>
    </row>
    <row r="64" spans="1:9" s="3" customFormat="1">
      <c r="A64" s="1"/>
      <c r="B64" s="4"/>
      <c r="I64"/>
    </row>
    <row r="65" spans="1:16" s="3" customFormat="1">
      <c r="A65" s="1"/>
      <c r="B65" s="4"/>
      <c r="I65"/>
    </row>
    <row r="66" spans="1:16" s="3" customFormat="1">
      <c r="A66" s="1"/>
      <c r="B66" s="4"/>
      <c r="I66"/>
    </row>
    <row r="67" spans="1:16" s="3" customFormat="1">
      <c r="A67" s="1"/>
      <c r="B67" s="4"/>
      <c r="I67"/>
    </row>
    <row r="68" spans="1:16" s="3" customFormat="1">
      <c r="A68" s="1"/>
      <c r="B68" s="4"/>
      <c r="I68"/>
    </row>
    <row r="69" spans="1:16" s="3" customFormat="1">
      <c r="A69" s="1"/>
      <c r="B69" s="4"/>
      <c r="I69"/>
    </row>
    <row r="70" spans="1:16" s="3" customFormat="1">
      <c r="A70" s="1"/>
      <c r="B70" s="4"/>
      <c r="I70"/>
    </row>
    <row r="71" spans="1:16" s="3" customFormat="1">
      <c r="A71" s="1"/>
      <c r="B71" s="4"/>
      <c r="I71"/>
    </row>
    <row r="72" spans="1:16" s="3" customFormat="1">
      <c r="A72" s="1"/>
      <c r="B72" s="4"/>
      <c r="I72"/>
    </row>
    <row r="73" spans="1:16" s="3" customFormat="1">
      <c r="A73" s="1"/>
      <c r="B73" s="4"/>
      <c r="I73"/>
    </row>
    <row r="74" spans="1:16" s="3" customFormat="1">
      <c r="A74" s="1"/>
      <c r="B74" s="4"/>
      <c r="I74"/>
      <c r="M74"/>
      <c r="N74"/>
      <c r="O74"/>
      <c r="P74"/>
    </row>
  </sheetData>
  <sortState ref="M20:O26">
    <sortCondition descending="1" ref="M20"/>
  </sortState>
  <pageMargins left="0.7" right="0.7" top="0.75" bottom="0.75" header="0.3" footer="0.3"/>
  <pageSetup paperSize="9" scale="5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DACE739233BB499185E9201691D117" ma:contentTypeVersion="45" ma:contentTypeDescription="Create a new document." ma:contentTypeScope="" ma:versionID="20182d0dbdd215c1e09bd485ed6324d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74b5a4020cc0417531245af4bd9469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13D1BB-64F2-485F-A655-328E71C4AA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3CCBEC3-5EA1-4B34-B764-A33DC8B045F6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ABDF013-8242-4C21-8949-09A3EC8313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Reporting Main</vt:lpstr>
      <vt:lpstr>Revenue_detail</vt:lpstr>
      <vt:lpstr>Balance Sheet USD</vt:lpstr>
      <vt:lpstr>Result Report USD</vt:lpstr>
      <vt:lpstr>Historic 2008-2017</vt:lpstr>
      <vt:lpstr>'Historic 2008-2017'!Print_Area</vt:lpstr>
      <vt:lpstr>'Reporting Main'!Print_Area</vt:lpstr>
      <vt:lpstr>'Result Report USD'!Print_Area</vt:lpstr>
      <vt:lpstr>Revenue_detail!Print_Area</vt:lpstr>
    </vt:vector>
  </TitlesOfParts>
  <Company>EITI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Brynjar Wiersholm</dc:creator>
  <cp:lastModifiedBy>Christina Berger</cp:lastModifiedBy>
  <cp:lastPrinted>2017-01-25T09:30:30Z</cp:lastPrinted>
  <dcterms:created xsi:type="dcterms:W3CDTF">2009-11-12T11:38:43Z</dcterms:created>
  <dcterms:modified xsi:type="dcterms:W3CDTF">2019-03-08T09:49:16Z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0x0101004FDACE739233BB499185E9201691D117</vt:lpwstr>
  </property>
</Properties>
</file>